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spreadsheetml.comments+xml" PartName="/xl/comments5.xml"/>
  <Override ContentType="application/vnd.openxmlformats-officedocument.spreadsheetml.comments+xml" PartName="/xl/comments1.xml"/>
  <Override ContentType="application/vnd.openxmlformats-officedocument.spreadsheetml.comments+xml" PartName="/xl/comments4.xml"/>
  <Override ContentType="application/vnd.openxmlformats-officedocument.spreadsheetml.comments+xml" PartName="/xl/comments3.xml"/>
  <Override ContentType="application/vnd.openxmlformats-officedocument.spreadsheetml.comments+xml" PartName="/xl/comments2.xml"/>
  <Override ContentType="application/vnd.openxmlformats-officedocument.drawingml.chart+xml" PartName="/xl/charts/chart1.xml"/>
  <Override ContentType="application/vnd.openxmlformats-officedocument.drawingml.chart+xml" PartName="/xl/charts/chart10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openxmlformats-officedocument.drawingml.chart+xml" PartName="/xl/charts/chart4.xml"/>
  <Override ContentType="application/vnd.openxmlformats-officedocument.drawingml.chart+xml" PartName="/xl/charts/chart9.xml"/>
  <Override ContentType="application/vnd.openxmlformats-officedocument.drawingml.chart+xml" PartName="/xl/charts/chart5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ompte de résultat 2016-2017" sheetId="1" r:id="rId3"/>
    <sheet state="visible" name="Solde Intermediaire de Gestion " sheetId="2" r:id="rId4"/>
    <sheet state="visible" name="Prévisionnel 2017 SCN1" sheetId="3" r:id="rId5"/>
    <sheet state="visible" name="Plan de trésorerie2017 SCN1" sheetId="4" r:id="rId6"/>
    <sheet state="visible" name="Prévisionnel 2017 SCN2" sheetId="5" r:id="rId7"/>
    <sheet state="visible" name="Plan de trésorerie SCN2" sheetId="6" r:id="rId8"/>
    <sheet state="visible" name="Prévisionnel 2017 SCN3" sheetId="7" r:id="rId9"/>
    <sheet state="visible" name="Plan de trésorerie SCN3" sheetId="8" r:id="rId10"/>
    <sheet state="visible" name="Prévisionnel 2017 SCN4" sheetId="9" r:id="rId11"/>
    <sheet state="visible" name="Plan de trésorerie SCN4" sheetId="10" r:id="rId12"/>
    <sheet state="visible" name="Scénarios-Graphiques" sheetId="11" r:id="rId13"/>
    <sheet state="visible" name="Scénarios-Graphiques (2)" sheetId="12" r:id="rId14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13">
      <text>
        <t xml:space="preserve">APCE: 
variation de stock = 
stock initial - stock final
</t>
      </text>
    </comment>
    <comment authorId="0" ref="A37">
      <text>
        <t xml:space="preserve">APCE: 
pour calculer les DAP, utiliser le tableau des investissements
</t>
      </text>
    </comment>
    <comment authorId="0" ref="A54">
      <text>
        <t xml:space="preserve">APCE:
 taux IS (impôt sur les sociétés) = 15% pour des bénéfices n'excédant pas 
38 120€ puis 33,33% pour les bénéfices supérieurs à ce seuil
</t>
      </text>
    </comment>
  </commentLi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F55">
      <text>
        <t xml:space="preserve">Aménagement Local
	-Maxime Thoueille</t>
      </text>
    </comment>
    <comment authorId="0" ref="I58">
      <text>
        <t xml:space="preserve">Provision IS
	-Maxime Thoueille</t>
      </text>
    </comment>
    <comment authorId="0" ref="F59">
      <text>
        <t xml:space="preserve">Prestation ZESTE
	-Maxime Thoueille</t>
      </text>
    </comment>
    <comment authorId="0" ref="G59">
      <text>
        <t xml:space="preserve">Arithmétique (1300e) + I&amp;M (50e/mois)
	-Maxime Thoueille</t>
      </text>
    </comment>
    <comment authorId="0" ref="G62">
      <text>
        <t xml:space="preserve">Coffre fort (350e) + 50e/mois
	-Maxime Thoueille</t>
      </text>
    </comment>
    <comment authorId="0" ref="G65">
      <text>
        <t xml:space="preserve">Hygiène (130) + Vrac (700)
	-Maxime Thoueille</t>
      </text>
    </comment>
    <comment authorId="0" ref="G72">
      <text>
        <t xml:space="preserve">Cotisation Klesia retraite (529e)
	-Maxime Thoueille</t>
      </text>
    </comment>
  </commentList>
</comments>
</file>

<file path=xl/comments3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F55">
      <text>
        <t xml:space="preserve">Aménagement Local
	-Maxime Thoueille</t>
      </text>
    </comment>
    <comment authorId="0" ref="I59">
      <text>
        <t xml:space="preserve">Provision IS
	-Maxime Thoueille</t>
      </text>
    </comment>
    <comment authorId="0" ref="F60">
      <text>
        <t xml:space="preserve">Prestation ZESTE
	-Maxime Thoueille</t>
      </text>
    </comment>
    <comment authorId="0" ref="G60">
      <text>
        <t xml:space="preserve">Arithmétique (1300e) + I&amp;M (50e/mois)
	-Maxime Thoueille</t>
      </text>
    </comment>
    <comment authorId="0" ref="G63">
      <text>
        <t xml:space="preserve">Coffre fort (350e) + 50e/mois
	-Maxime Thoueille</t>
      </text>
    </comment>
    <comment authorId="0" ref="G66">
      <text>
        <t xml:space="preserve">Hygiène (130) + Vrac (700)
	-Maxime Thoueille</t>
      </text>
    </comment>
    <comment authorId="0" ref="G73">
      <text>
        <t xml:space="preserve">Cotisation Klesia retraite (529e)
	-Maxime Thoueille</t>
      </text>
    </comment>
  </commentList>
</comments>
</file>

<file path=xl/comments4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F55">
      <text>
        <t xml:space="preserve">Aménagement Local
	-Maxime Thoueille</t>
      </text>
    </comment>
    <comment authorId="0" ref="I59">
      <text>
        <t xml:space="preserve">Provision IS
	-Maxime Thoueille</t>
      </text>
    </comment>
    <comment authorId="0" ref="F60">
      <text>
        <t xml:space="preserve">Prestation ZESTE
	-Maxime Thoueille</t>
      </text>
    </comment>
    <comment authorId="0" ref="G60">
      <text>
        <t xml:space="preserve">Arithmétique (1300e) + I&amp;M (50e/mois)
	-Maxime Thoueille</t>
      </text>
    </comment>
    <comment authorId="0" ref="G63">
      <text>
        <t xml:space="preserve">Coffre fort (350e) + 50e/mois
	-Maxime Thoueille</t>
      </text>
    </comment>
    <comment authorId="0" ref="G66">
      <text>
        <t xml:space="preserve">Hygiène (130) + Vrac (700)
	-Maxime Thoueille</t>
      </text>
    </comment>
    <comment authorId="0" ref="G73">
      <text>
        <t xml:space="preserve">Cotisation Klesia retraite (529e)
	-Maxime Thoueille</t>
      </text>
    </comment>
  </commentList>
</comments>
</file>

<file path=xl/comments5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F56">
      <text>
        <t xml:space="preserve">Aménagement Local
	-Maxime Thoueille</t>
      </text>
    </comment>
    <comment authorId="0" ref="I60">
      <text>
        <t xml:space="preserve">Provision IS
	-Maxime Thoueille</t>
      </text>
    </comment>
    <comment authorId="0" ref="F61">
      <text>
        <t xml:space="preserve">Prestation ZESTE
	-Maxime Thoueille</t>
      </text>
    </comment>
    <comment authorId="0" ref="G61">
      <text>
        <t xml:space="preserve">Arithmétique (1300e) + I&amp;M (50e/mois)
	-Maxime Thoueille</t>
      </text>
    </comment>
    <comment authorId="0" ref="G64">
      <text>
        <t xml:space="preserve">Coffre fort (350e) + 50e/mois
	-Maxime Thoueille</t>
      </text>
    </comment>
    <comment authorId="0" ref="G67">
      <text>
        <t xml:space="preserve">Hygiène (130) + Vrac (700)
	-Maxime Thoueille</t>
      </text>
    </comment>
    <comment authorId="0" ref="G74">
      <text>
        <t xml:space="preserve">Cotisation Klesia retraite (529e)
	-Maxime Thoueille</t>
      </text>
    </comment>
  </commentList>
</comments>
</file>

<file path=xl/sharedStrings.xml><?xml version="1.0" encoding="utf-8"?>
<sst xmlns="http://schemas.openxmlformats.org/spreadsheetml/2006/main" count="741" uniqueCount="218">
  <si>
    <t>COMPTE DE RESULTAT PREVISIONNEL</t>
  </si>
  <si>
    <t>Année 2016</t>
  </si>
  <si>
    <t>Prévisionnel Compte de résultat 2016</t>
  </si>
  <si>
    <t>Pessimiste</t>
  </si>
  <si>
    <t>Panier moyen</t>
  </si>
  <si>
    <t>Optimiste</t>
  </si>
  <si>
    <t>Avec subventions</t>
  </si>
  <si>
    <t>2017 SCN 1</t>
  </si>
  <si>
    <t>Delta</t>
  </si>
  <si>
    <t>2017 SCN 2</t>
  </si>
  <si>
    <t>2017 SCN 3</t>
  </si>
  <si>
    <t>2017 SCN 4</t>
  </si>
  <si>
    <t>TOTAL factures</t>
  </si>
  <si>
    <t>Factures payées</t>
  </si>
  <si>
    <t>TOTAL</t>
  </si>
  <si>
    <t>CHARGES (HT)</t>
  </si>
  <si>
    <t>HYPOTHESES</t>
  </si>
  <si>
    <t>PRODUITS (HT)</t>
  </si>
  <si>
    <t>État de résultat</t>
  </si>
  <si>
    <t>Montants</t>
  </si>
  <si>
    <t>Soldes</t>
  </si>
  <si>
    <t>%</t>
  </si>
  <si>
    <t>TOTAL ENTREES</t>
  </si>
  <si>
    <t>Ventes</t>
  </si>
  <si>
    <t>Cotisations adhérents</t>
  </si>
  <si>
    <t>Cotisations</t>
  </si>
  <si>
    <t>Dons</t>
  </si>
  <si>
    <t xml:space="preserve"> CHARGES D'EXPLOITATION</t>
  </si>
  <si>
    <t>Subventions d'exploitation</t>
  </si>
  <si>
    <t>TOTAL SORTIES</t>
  </si>
  <si>
    <t>Autre produits (dons)</t>
  </si>
  <si>
    <t xml:space="preserve"> PRODUITS D'EXPLOITATION</t>
  </si>
  <si>
    <t>Subventions complémentaires</t>
  </si>
  <si>
    <t>Subventions d’exploitation</t>
  </si>
  <si>
    <t xml:space="preserve"> Achats (charges variables)</t>
  </si>
  <si>
    <t>Volume d'activité</t>
  </si>
  <si>
    <t>Construction</t>
  </si>
  <si>
    <t>Mobilier</t>
  </si>
  <si>
    <t>Cautionnement</t>
  </si>
  <si>
    <t>Autres impôts taxes et versements</t>
  </si>
  <si>
    <t>Achat d'étude et prestation de service</t>
  </si>
  <si>
    <t>Charges fixes</t>
  </si>
  <si>
    <t>Electricité</t>
  </si>
  <si>
    <t xml:space="preserve">  Ventes de marchandises</t>
  </si>
  <si>
    <t>Eau</t>
  </si>
  <si>
    <t>Fournitures administratives</t>
  </si>
  <si>
    <t>Achat marchandises</t>
  </si>
  <si>
    <t xml:space="preserve">Loyer </t>
  </si>
  <si>
    <t>Entretien / Réparation</t>
  </si>
  <si>
    <t>Primes d'assurance</t>
  </si>
  <si>
    <t>Frais bancaires</t>
  </si>
  <si>
    <t>Actes contentieux</t>
  </si>
  <si>
    <t>Frais déplacement</t>
  </si>
  <si>
    <t>Frais postaux et telecom</t>
  </si>
  <si>
    <t>Rémunérations brutes</t>
  </si>
  <si>
    <t>Cotisation sociales</t>
  </si>
  <si>
    <t>Redevances licences</t>
  </si>
  <si>
    <t>Dons et libéralités</t>
  </si>
  <si>
    <t xml:space="preserve">  Achat de marchandises</t>
  </si>
  <si>
    <t>Loyer</t>
  </si>
  <si>
    <t>Dettes fournisseurs</t>
  </si>
  <si>
    <t>Poste-Telecom</t>
  </si>
  <si>
    <t xml:space="preserve">  Production stockée</t>
  </si>
  <si>
    <t>Prime d’assurance</t>
  </si>
  <si>
    <t xml:space="preserve">  Variation de stock</t>
  </si>
  <si>
    <t>Fournitures Administratives</t>
  </si>
  <si>
    <t xml:space="preserve">  Cotisations</t>
  </si>
  <si>
    <t>Stock</t>
  </si>
  <si>
    <t xml:space="preserve">  Voyages et déplacements</t>
  </si>
  <si>
    <t>Entretiens-Réparation</t>
  </si>
  <si>
    <t>Redevances license</t>
  </si>
  <si>
    <t>Variation Stock</t>
  </si>
  <si>
    <t xml:space="preserve">  Subventions d'exploitation</t>
  </si>
  <si>
    <t>Marge commerciale</t>
  </si>
  <si>
    <t>Marge commerciale %</t>
  </si>
  <si>
    <t>5% imprévus</t>
  </si>
  <si>
    <t>Charges variables</t>
  </si>
  <si>
    <t xml:space="preserve"> Achats de fournitures</t>
  </si>
  <si>
    <t>Achat Marchandises</t>
  </si>
  <si>
    <t>Frais de déplacement</t>
  </si>
  <si>
    <t xml:space="preserve"> Subventions complémentaires</t>
  </si>
  <si>
    <t>RESULTAT 2016</t>
  </si>
  <si>
    <t>Report 2015</t>
  </si>
  <si>
    <t>Achats Consommés</t>
  </si>
  <si>
    <t>Entretien et réparation</t>
  </si>
  <si>
    <t>STOCK FINAL</t>
  </si>
  <si>
    <t>Prévisionnel Compte de résultat 2017</t>
  </si>
  <si>
    <t>Poste et Télécom</t>
  </si>
  <si>
    <t>Prestation ext</t>
  </si>
  <si>
    <t xml:space="preserve"> Charges externes</t>
  </si>
  <si>
    <t>Loyers et charges locatives</t>
  </si>
  <si>
    <t>Charges de personnel</t>
  </si>
  <si>
    <t>Cotisations sociales</t>
  </si>
  <si>
    <t>Assurances</t>
  </si>
  <si>
    <t>Dotation aux amortissements</t>
  </si>
  <si>
    <t>Prestations de service</t>
  </si>
  <si>
    <t>Aménagement cour intérieure</t>
  </si>
  <si>
    <t>Hypothèse Chambre froide en mars</t>
  </si>
  <si>
    <t xml:space="preserve">4000 euros d'impots prévus mais on ne provisionne rien pour l'année d'après </t>
  </si>
  <si>
    <t xml:space="preserve">Achats d'études et prestations </t>
  </si>
  <si>
    <t>Electricité 166€ /mois (l'ajout de frigos augmente bien la consommation)</t>
  </si>
  <si>
    <t>Produits exceptionnels constaté d'avance</t>
  </si>
  <si>
    <t>Charges exceptionnelles</t>
  </si>
  <si>
    <t xml:space="preserve">  Impôts et taxes</t>
  </si>
  <si>
    <t xml:space="preserve">  Frais de personnel</t>
  </si>
  <si>
    <t>Loyer / Hébergement serveur</t>
  </si>
  <si>
    <t xml:space="preserve">Salaires </t>
  </si>
  <si>
    <t>Loyer + salle AG (mars / juin / septembre) + salle forum (30e/mois) + serveur</t>
  </si>
  <si>
    <t>Impôt sur les bénéfices</t>
  </si>
  <si>
    <t>Charges sociales</t>
  </si>
  <si>
    <t xml:space="preserve">  Dotation aux amortissements (DAP)</t>
  </si>
  <si>
    <t>Seuil de rentabilité (en chiffre d’affaires) = Montant des charges fixes / Taux de marge sur coûts variables</t>
  </si>
  <si>
    <t>Frais postaux (10e/mois) + la 2ème année le forfait Bouygues passe de 19,99 à 29,99</t>
  </si>
  <si>
    <t>Sous total 1</t>
  </si>
  <si>
    <t xml:space="preserve"> Taux de marge sur coûts variables = Marge sur coûts variables / Chiffre d'affaires</t>
  </si>
  <si>
    <t>577€/ salarié + 55€ (mutuelle) + 1 visite AMETRA (143€) + 529 KLESIA</t>
  </si>
  <si>
    <t>Vente par jour</t>
  </si>
  <si>
    <t>5% de dépenses imprévues</t>
  </si>
  <si>
    <t>Vente par mois</t>
  </si>
  <si>
    <t xml:space="preserve"> CHARGES FINANCIERES</t>
  </si>
  <si>
    <t>Seuil de rentabilité / jour</t>
  </si>
  <si>
    <t>Imprévu</t>
  </si>
  <si>
    <t>Seuil de rentabilité / mois</t>
  </si>
  <si>
    <t xml:space="preserve">PRODUITS FINANCIERS </t>
  </si>
  <si>
    <t>Agios et intérêts payés</t>
  </si>
  <si>
    <t>Charges totales</t>
  </si>
  <si>
    <t>Intérêts perçus</t>
  </si>
  <si>
    <t>Autres</t>
  </si>
  <si>
    <t>Escomptes obtenus</t>
  </si>
  <si>
    <t>Sous total 2</t>
  </si>
  <si>
    <t xml:space="preserve"> CHARGES EXCEPTIONNELLES</t>
  </si>
  <si>
    <t xml:space="preserve">PRODUITS EXCEPTIONNELS </t>
  </si>
  <si>
    <t>Crowdfunding</t>
  </si>
  <si>
    <t>Sous total 3</t>
  </si>
  <si>
    <t>RESULTAT 2017 (perte)</t>
  </si>
  <si>
    <t xml:space="preserve"> TOTAL CHARGES</t>
  </si>
  <si>
    <t>Report 2016</t>
  </si>
  <si>
    <t xml:space="preserve">PLAN DE TRESORERIE </t>
  </si>
  <si>
    <t xml:space="preserve"> TOTAL PRODUITS</t>
  </si>
  <si>
    <t xml:space="preserve"> 1. SOLDE EN DEBUT DE MOIS</t>
  </si>
  <si>
    <t xml:space="preserve"> RESULTAT avant impôts</t>
  </si>
  <si>
    <t xml:space="preserve"> 2. ENCAISSEMENTS</t>
  </si>
  <si>
    <t>D'exploitation</t>
  </si>
  <si>
    <t xml:space="preserve"> Impôt sur les sociétés *</t>
  </si>
  <si>
    <t xml:space="preserve"> Ventes TTC</t>
  </si>
  <si>
    <t xml:space="preserve">  </t>
  </si>
  <si>
    <t>RESULTAT NET</t>
  </si>
  <si>
    <t xml:space="preserve"> Autres encaissements</t>
  </si>
  <si>
    <t>Total encaissements d'exploitation</t>
  </si>
  <si>
    <t>Pour masquer les commentaires : cliquer sur le bouton "affichage" puis "commentaires"</t>
  </si>
  <si>
    <t>* Cas des sociétés</t>
  </si>
  <si>
    <t>Seuil de rentabilité calculé automatiquement sur l'onglet "seuil de rentabilité"</t>
  </si>
  <si>
    <t>Hors exploitation</t>
  </si>
  <si>
    <t xml:space="preserve"> Subventions</t>
  </si>
  <si>
    <t xml:space="preserve"> Dons</t>
  </si>
  <si>
    <t>Remarques</t>
  </si>
  <si>
    <t>Total encaissements hors exploitation</t>
  </si>
  <si>
    <t>A. TOTAL ENCAISSEMENTS</t>
  </si>
  <si>
    <t xml:space="preserve"> 3. DECAISSEMENTS</t>
  </si>
  <si>
    <t xml:space="preserve">  Achats de marchandises TTC</t>
  </si>
  <si>
    <t xml:space="preserve">  Sous-traitance</t>
  </si>
  <si>
    <t xml:space="preserve">  Eau</t>
  </si>
  <si>
    <t xml:space="preserve">  Electricité</t>
  </si>
  <si>
    <t xml:space="preserve">  Fournitures d'entretien</t>
  </si>
  <si>
    <t xml:space="preserve">  Fournitures administratives</t>
  </si>
  <si>
    <t>TVA à décaisser</t>
  </si>
  <si>
    <t xml:space="preserve">  Fournitures diverses</t>
  </si>
  <si>
    <t xml:space="preserve">  Loyers de crédit bail</t>
  </si>
  <si>
    <t xml:space="preserve">  Loyers et charges locatives</t>
  </si>
  <si>
    <t xml:space="preserve">  Assurances</t>
  </si>
  <si>
    <t xml:space="preserve">  Entretien (locaux, matériel)</t>
  </si>
  <si>
    <t xml:space="preserve">  Documentation</t>
  </si>
  <si>
    <t xml:space="preserve">  Honoraires</t>
  </si>
  <si>
    <t xml:space="preserve">  Frais d'acte et de contentieux</t>
  </si>
  <si>
    <t xml:space="preserve">  Affranchissements et téléphone</t>
  </si>
  <si>
    <t>en janvier on dépense 10000 en équipements épicerie</t>
  </si>
  <si>
    <t xml:space="preserve">  Divers</t>
  </si>
  <si>
    <t xml:space="preserve">  Impôts et taxe</t>
  </si>
  <si>
    <t xml:space="preserve">  Salaires brut des salariés</t>
  </si>
  <si>
    <t xml:space="preserve">  Cotisations sociales salariés</t>
  </si>
  <si>
    <t xml:space="preserve">  Commissions versées</t>
  </si>
  <si>
    <t xml:space="preserve">  Agios et intérêts payés</t>
  </si>
  <si>
    <t xml:space="preserve"> TVA à décaisser</t>
  </si>
  <si>
    <t>Total décaissements d'exploitation</t>
  </si>
  <si>
    <t xml:space="preserve">  Frais d'établissement</t>
  </si>
  <si>
    <t xml:space="preserve">  Achat terrain construction</t>
  </si>
  <si>
    <t xml:space="preserve">  Brevet</t>
  </si>
  <si>
    <t xml:space="preserve">  Création site internet</t>
  </si>
  <si>
    <t xml:space="preserve">  Logiciels</t>
  </si>
  <si>
    <t xml:space="preserve">  Travaux / aménagements</t>
  </si>
  <si>
    <t xml:space="preserve">  Véhicule</t>
  </si>
  <si>
    <t xml:space="preserve">  Mobilier</t>
  </si>
  <si>
    <t xml:space="preserve">  Matériel informatique</t>
  </si>
  <si>
    <t xml:space="preserve">  Garanties sur loyers</t>
  </si>
  <si>
    <t xml:space="preserve">  Dons et libéralités</t>
  </si>
  <si>
    <t xml:space="preserve"> 5% imprévus</t>
  </si>
  <si>
    <t xml:space="preserve">  Remboursement d'emprunts </t>
  </si>
  <si>
    <t>Total décaissements hors exploitation</t>
  </si>
  <si>
    <t>B. TOTAL DECAISSEMENTS</t>
  </si>
  <si>
    <t xml:space="preserve"> 4. SOLDE DU MOIS (A - B)</t>
  </si>
  <si>
    <t xml:space="preserve"> 5. SOLDE DE FIN DE MOIS (1 + 4)</t>
  </si>
  <si>
    <t>Construction du plan de trésorerie</t>
  </si>
  <si>
    <t>Certaines sommes proviennent directement de l'activité de l'entreprise : ce sont les encaissements d'exploitation
D'autres ont pour objet de financer l'exploitation mais ne sont pas directement issues de l'activité : elles sont "hors exploitation"</t>
  </si>
  <si>
    <t>Encaissements d'exploitation : indiquer le chiffre d'affaires TTC réellement encaissé (ou prévisionnel si vous êtes en phase de construction de votre projet)</t>
  </si>
  <si>
    <t>Attention !
• Le montant du chiffre d'affaires encaissé est inscrit TTC.
• Le montant des ventes est celui réellement encaissé : ne pas oublier les délais de paiement possibles entre la facturation et l'encaissement du paiement</t>
  </si>
  <si>
    <t>Encaissements hors exploitation : Reprendre les chiffres du plan de financement initial pour le 1er mois. En cas de versement ultérieur, porter la somme sur le mois où elle est (ou sera) réellement reçue.</t>
  </si>
  <si>
    <t xml:space="preserve">Décaissements d'exploitation : Attention ! 
• Le montant des achats est comptabilisé TTC.
• De même, ne pas oublier de tenir compte des délais de paiement et porter le décaissement le mois où celui-ci a (ou aura) réellement eu lieu  </t>
  </si>
  <si>
    <t xml:space="preserve">Prestation PNA fond propres </t>
  </si>
  <si>
    <t xml:space="preserve"> 5% Imprévus</t>
  </si>
  <si>
    <t xml:space="preserve"> 5% d'imprévus</t>
  </si>
  <si>
    <t>Ventes 1</t>
  </si>
  <si>
    <t>Achat marchandises 1</t>
  </si>
  <si>
    <t>Ventes estimation 2</t>
  </si>
  <si>
    <t>Achat marchandises 2</t>
  </si>
  <si>
    <t>Part d'acheteurs par adhérent</t>
  </si>
  <si>
    <t>Nombre d'adhérents</t>
  </si>
  <si>
    <t>Nombre d'acheteurs</t>
  </si>
  <si>
    <t>Panier moyen 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</si>
</sst>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1">
    <numFmt numFmtId="164" formatCode="_-* #,##0.00,\€_-;\-* #,##0.00,\€_-;_-* \-??&quot; €&quot;_-;_-@"/>
    <numFmt numFmtId="165" formatCode="#,##0.00\ &quot;€&quot;;[Red]#,##0.00\ &quot;€&quot;"/>
    <numFmt numFmtId="166" formatCode="#,##0\ &quot;€&quot;;[Red]#,##0\ &quot;€&quot;"/>
    <numFmt numFmtId="167" formatCode="#,##0.00\ [$€-1]"/>
    <numFmt numFmtId="168" formatCode="#,##0.00&quot;€&quot;"/>
    <numFmt numFmtId="169" formatCode="#,##0.0\ &quot;€&quot;;[Red]#,##0.0\ &quot;€&quot;"/>
    <numFmt numFmtId="170" formatCode="#,##0.000\ &quot;€&quot;;[Red]#,##0.000\ &quot;€&quot;"/>
    <numFmt numFmtId="171" formatCode="_-* #,##0.00\ _€_-;\-* #,##0.00\ _€_-;_-* &quot;-&quot;??\ _€_-;_-@"/>
    <numFmt numFmtId="172" formatCode="#,##0\ [$€-1]"/>
    <numFmt numFmtId="173" formatCode="_-* #,##0\ _€_-;\-* #,##0\ _€_-;_-* &quot;-&quot;??\ _€_-;_-@"/>
    <numFmt numFmtId="174" formatCode="#,##0\ &quot;€&quot;;[Red]\-#,##0\ &quot;€&quot;"/>
  </numFmts>
  <fonts count="38">
    <font>
      <sz val="12.0"/>
      <color rgb="FF000000"/>
      <name val="Calibri"/>
    </font>
    <font>
      <sz val="12.0"/>
      <name val="Helvetica Neue"/>
    </font>
    <font>
      <b/>
      <sz val="26.0"/>
      <name val="Arial"/>
    </font>
    <font>
      <sz val="12.0"/>
      <color rgb="FF000000"/>
      <name val="Helvetica Neue"/>
    </font>
    <font>
      <b/>
      <sz val="14.0"/>
      <color rgb="FF000000"/>
      <name val="Helvetica Neue"/>
    </font>
    <font/>
    <font>
      <sz val="12.0"/>
      <name val="Verdana"/>
    </font>
    <font>
      <sz val="12.0"/>
      <name val="Calibri"/>
    </font>
    <font>
      <b/>
      <sz val="12.0"/>
      <name val="Verdana"/>
    </font>
    <font>
      <sz val="11.0"/>
      <name val="Calibri"/>
    </font>
    <font>
      <b/>
      <sz val="11.0"/>
      <color rgb="FF000000"/>
      <name val="Calibri"/>
    </font>
    <font>
      <b/>
      <sz val="12.0"/>
      <name val="Arial"/>
    </font>
    <font>
      <b/>
      <sz val="14.0"/>
      <color rgb="FF000000"/>
      <name val="Calibri"/>
    </font>
    <font>
      <b/>
      <sz val="14.0"/>
      <color rgb="FF252525"/>
      <name val="Helvetica Neue"/>
    </font>
    <font>
      <u/>
      <sz val="14.0"/>
      <color rgb="FF000000"/>
      <name val="Helvetica Neue"/>
    </font>
    <font>
      <b/>
      <sz val="12.0"/>
      <color rgb="FF000000"/>
      <name val="Trebuchet MS"/>
    </font>
    <font>
      <sz val="14.0"/>
      <color rgb="FF252525"/>
      <name val="Helvetica Neue"/>
    </font>
    <font>
      <sz val="12.0"/>
      <color rgb="FF000000"/>
      <name val="Trebuchet MS"/>
    </font>
    <font>
      <sz val="14.0"/>
      <color rgb="FF000000"/>
      <name val="Helvetica Neue"/>
    </font>
    <font>
      <b/>
      <sz val="14.0"/>
      <color rgb="FF0000FF"/>
      <name val="Helvetica Neue"/>
    </font>
    <font>
      <b/>
      <sz val="14.0"/>
      <color rgb="FF0544AD"/>
      <name val="Helvetica Neue"/>
    </font>
    <font>
      <i/>
      <sz val="12.0"/>
      <name val="Arial"/>
    </font>
    <font>
      <sz val="12.0"/>
      <color rgb="FF252525"/>
      <name val="Verdana"/>
    </font>
    <font>
      <b/>
      <u/>
      <sz val="14.0"/>
      <color rgb="FF0544AD"/>
      <name val="Helvetica Neue"/>
    </font>
    <font>
      <b/>
      <u/>
      <sz val="14.0"/>
      <color rgb="FF0544AD"/>
      <name val="Helvetica Neue"/>
    </font>
    <font>
      <b/>
      <i/>
      <sz val="12.0"/>
      <color rgb="FFFF0000"/>
      <name val="Arial"/>
    </font>
    <font>
      <b/>
      <sz val="12.0"/>
      <color rgb="FFFF0000"/>
      <name val="Verdana"/>
    </font>
    <font>
      <b/>
      <i/>
      <sz val="12.0"/>
      <name val="Arial"/>
    </font>
    <font>
      <sz val="12.0"/>
      <name val="Arial"/>
    </font>
    <font>
      <b/>
      <sz val="14.0"/>
      <name val="Arial"/>
    </font>
    <font>
      <b/>
      <sz val="11.0"/>
      <name val="Arial"/>
    </font>
    <font>
      <b/>
      <i/>
      <sz val="12.0"/>
      <color rgb="FF993300"/>
      <name val="Arial"/>
    </font>
    <font>
      <sz val="12.0"/>
      <color rgb="FF000000"/>
      <name val="Arial"/>
    </font>
    <font>
      <b/>
      <sz val="12.0"/>
      <color rgb="FF993300"/>
      <name val="Arial"/>
    </font>
    <font>
      <i/>
      <sz val="11.0"/>
      <name val="Arial"/>
    </font>
    <font>
      <b/>
      <i/>
      <sz val="12.0"/>
      <color rgb="FF2E75B5"/>
      <name val="Arial"/>
    </font>
    <font>
      <b/>
      <u/>
      <sz val="12.0"/>
      <name val="Arial"/>
    </font>
    <font>
      <sz val="12.0"/>
      <color rgb="FF993300"/>
      <name val="Arial"/>
    </font>
  </fonts>
  <fills count="1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CC00"/>
        <bgColor rgb="FFFFCC00"/>
      </patternFill>
    </fill>
    <fill>
      <patternFill patternType="solid">
        <fgColor rgb="FFBDC0BF"/>
        <bgColor rgb="FFBDC0BF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  <fill>
      <patternFill patternType="solid">
        <fgColor rgb="FFFBD4B4"/>
        <bgColor rgb="FFFBD4B4"/>
      </patternFill>
    </fill>
    <fill>
      <patternFill patternType="solid">
        <fgColor rgb="FFFFFF00"/>
        <bgColor rgb="FFFFFF00"/>
      </patternFill>
    </fill>
    <fill>
      <patternFill patternType="solid">
        <fgColor rgb="FFF8CBAD"/>
        <bgColor rgb="FFF8CBAD"/>
      </patternFill>
    </fill>
    <fill>
      <patternFill patternType="solid">
        <fgColor rgb="FF999999"/>
        <bgColor rgb="FF999999"/>
      </patternFill>
    </fill>
    <fill>
      <patternFill patternType="solid">
        <fgColor rgb="FFF2F2F2"/>
        <bgColor rgb="FFF2F2F2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</fills>
  <borders count="8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top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/>
    </border>
    <border>
      <left/>
      <right/>
      <top/>
      <bottom/>
    </border>
    <border>
      <left/>
    </border>
    <border>
      <left/>
      <right/>
      <top/>
      <bottom style="thin">
        <color rgb="FF000000"/>
      </bottom>
    </border>
    <border>
      <right style="thin">
        <color rgb="FF000000"/>
      </right>
    </border>
    <border>
      <left/>
      <right style="thin">
        <color rgb="FF000000"/>
      </right>
      <top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/>
    </border>
    <border>
      <left style="thin">
        <color rgb="FF000000"/>
      </left>
      <right style="thin">
        <color rgb="FF000000"/>
      </right>
      <top/>
      <bottom/>
    </border>
    <border>
      <bottom style="medium">
        <color rgb="FF000000"/>
      </bottom>
    </border>
    <border>
      <left style="thin">
        <color rgb="FF000000"/>
      </left>
      <right/>
      <top/>
      <bottom/>
    </border>
    <border>
      <right style="thin">
        <color rgb="FF000000"/>
      </right>
      <bottom style="medium">
        <color rgb="FF000000"/>
      </bottom>
    </border>
    <border>
      <left/>
      <right style="thin">
        <color rgb="FF000000"/>
      </right>
      <bottom style="thin">
        <color rgb="FF000000"/>
      </bottom>
    </border>
    <border>
      <right style="medium">
        <color rgb="FF000000"/>
      </right>
    </border>
    <border>
      <left/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</border>
    <border>
      <left/>
      <right style="double">
        <color rgb="FF000000"/>
      </right>
      <top/>
    </border>
    <border>
      <left/>
      <right style="thin">
        <color rgb="FFA5A5A5"/>
      </right>
      <top/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medium">
        <color rgb="FF000000"/>
      </right>
      <top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 style="double">
        <color rgb="FF000000"/>
      </right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/>
      <bottom style="medium">
        <color rgb="FF000000"/>
      </bottom>
    </border>
    <border>
      <left/>
      <right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double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/>
      <top/>
      <bottom/>
    </border>
    <border>
      <top/>
      <bottom/>
    </border>
    <border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 style="medium">
        <color rgb="FF000000"/>
      </top>
      <bottom/>
    </border>
    <border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/>
      <right style="double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bottom style="thin">
        <color rgb="FF000000"/>
      </bottom>
    </border>
    <border>
      <left/>
      <right style="thick">
        <color rgb="FFFF0000"/>
      </right>
      <top/>
      <bottom/>
    </border>
    <border>
      <left/>
      <right/>
      <top/>
      <bottom style="double">
        <color rgb="FF000000"/>
      </bottom>
    </border>
    <border>
      <left/>
      <right style="thick">
        <color rgb="FFFF0000"/>
      </right>
      <top/>
    </border>
    <border>
      <left/>
      <right style="double">
        <color rgb="FF000000"/>
      </right>
      <top/>
      <bottom style="double">
        <color rgb="FF000000"/>
      </bottom>
    </border>
    <border>
      <left/>
      <right style="thick">
        <color rgb="FFFF0000"/>
      </right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double">
        <color rgb="FF000000"/>
      </right>
      <top/>
      <bottom style="medium">
        <color rgb="FF000000"/>
      </bottom>
    </border>
    <border>
      <left/>
      <right style="thick">
        <color rgb="FFFF0000"/>
      </right>
      <top/>
      <bottom style="thin">
        <color rgb="FF000000"/>
      </bottom>
    </border>
    <border>
      <left/>
      <right style="double">
        <color rgb="FF000000"/>
      </right>
      <top/>
      <bottom style="thin">
        <color rgb="FF000000"/>
      </bottom>
    </border>
    <border>
      <left style="double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ck">
        <color rgb="FFFF0000"/>
      </right>
      <bottom style="thin">
        <color rgb="FF000000"/>
      </bottom>
    </border>
    <border>
      <left style="thin">
        <color rgb="FF000000"/>
      </left>
      <top/>
    </border>
    <border>
      <right style="thin">
        <color rgb="FF000000"/>
      </right>
      <top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ck">
        <color rgb="FFFF0000"/>
      </right>
      <top/>
      <bottom style="medium">
        <color rgb="FF000000"/>
      </bottom>
    </border>
    <border>
      <left style="thin">
        <color rgb="FF000000"/>
      </left>
      <right style="thick">
        <color rgb="FFFF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 style="double">
        <color rgb="FF000000"/>
      </bottom>
    </border>
    <border>
      <left/>
      <right style="thick">
        <color rgb="FFFF0000"/>
      </right>
      <top/>
      <bottom style="double">
        <color rgb="FF000000"/>
      </bottom>
    </border>
    <border>
      <right style="thick">
        <color rgb="FFFF0000"/>
      </right>
    </border>
    <border>
      <left style="thin">
        <color rgb="FF000000"/>
      </left>
      <top style="thin">
        <color rgb="FF000000"/>
      </top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327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shrinkToFit="0" wrapText="0"/>
    </xf>
    <xf borderId="1" fillId="0" fontId="1" numFmtId="0" xfId="0" applyAlignment="1" applyBorder="1" applyFont="1">
      <alignment shrinkToFit="0" vertical="top" wrapText="0"/>
    </xf>
    <xf borderId="2" fillId="2" fontId="2" numFmtId="0" xfId="0" applyAlignment="1" applyBorder="1" applyFill="1" applyFont="1">
      <alignment horizontal="center" shrinkToFit="0" vertical="center" wrapText="0"/>
    </xf>
    <xf borderId="1" fillId="0" fontId="0" numFmtId="0" xfId="0" applyAlignment="1" applyBorder="1" applyFont="1">
      <alignment shrinkToFit="0" wrapText="0"/>
    </xf>
    <xf borderId="3" fillId="0" fontId="3" numFmtId="0" xfId="0" applyAlignment="1" applyBorder="1" applyFont="1">
      <alignment horizontal="center" shrinkToFit="0" wrapText="0"/>
    </xf>
    <xf borderId="1" fillId="0" fontId="4" numFmtId="0" xfId="0" applyAlignment="1" applyBorder="1" applyFont="1">
      <alignment horizontal="center" shrinkToFit="0" vertical="center" wrapText="0"/>
    </xf>
    <xf borderId="4" fillId="0" fontId="5" numFmtId="0" xfId="0" applyBorder="1" applyFont="1"/>
    <xf borderId="5" fillId="0" fontId="5" numFmtId="0" xfId="0" applyBorder="1" applyFont="1"/>
    <xf borderId="6" fillId="0" fontId="5" numFmtId="0" xfId="0" applyBorder="1" applyFont="1"/>
    <xf borderId="7" fillId="2" fontId="6" numFmtId="0" xfId="0" applyAlignment="1" applyBorder="1" applyFont="1">
      <alignment shrinkToFit="0" wrapText="0"/>
    </xf>
    <xf borderId="3" fillId="0" fontId="3" numFmtId="0" xfId="0" applyAlignment="1" applyBorder="1" applyFont="1">
      <alignment shrinkToFit="0" wrapText="0"/>
    </xf>
    <xf borderId="4" fillId="0" fontId="7" numFmtId="0" xfId="0" applyAlignment="1" applyBorder="1" applyFont="1">
      <alignment shrinkToFit="0" wrapText="0"/>
    </xf>
    <xf borderId="8" fillId="0" fontId="5" numFmtId="0" xfId="0" applyBorder="1" applyFont="1"/>
    <xf borderId="5" fillId="0" fontId="7" numFmtId="0" xfId="0" applyAlignment="1" applyBorder="1" applyFont="1">
      <alignment shrinkToFit="0" wrapText="0"/>
    </xf>
    <xf borderId="9" fillId="2" fontId="6" numFmtId="0" xfId="0" applyAlignment="1" applyBorder="1" applyFont="1">
      <alignment shrinkToFit="0" wrapText="0"/>
    </xf>
    <xf borderId="3" fillId="0" fontId="3" numFmtId="0" xfId="0" applyAlignment="1" applyBorder="1" applyFont="1">
      <alignment shrinkToFit="0" vertical="top" wrapText="1"/>
    </xf>
    <xf borderId="0" fillId="0" fontId="6" numFmtId="0" xfId="0" applyAlignment="1" applyFont="1">
      <alignment shrinkToFit="0" wrapText="0"/>
    </xf>
    <xf borderId="5" fillId="0" fontId="3" numFmtId="0" xfId="0" applyAlignment="1" applyBorder="1" applyFont="1">
      <alignment shrinkToFit="0" vertical="top" wrapText="1"/>
    </xf>
    <xf borderId="10" fillId="0" fontId="6" numFmtId="0" xfId="0" applyAlignment="1" applyBorder="1" applyFont="1">
      <alignment shrinkToFit="0" wrapText="0"/>
    </xf>
    <xf borderId="4" fillId="0" fontId="3" numFmtId="0" xfId="0" applyAlignment="1" applyBorder="1" applyFont="1">
      <alignment shrinkToFit="0" vertical="top" wrapText="1"/>
    </xf>
    <xf borderId="11" fillId="3" fontId="8" numFmtId="0" xfId="0" applyAlignment="1" applyBorder="1" applyFill="1" applyFont="1">
      <alignment horizontal="center" shrinkToFit="0" wrapText="0"/>
    </xf>
    <xf borderId="1" fillId="4" fontId="1" numFmtId="0" xfId="0" applyAlignment="1" applyBorder="1" applyFill="1" applyFont="1">
      <alignment shrinkToFit="0" vertical="top" wrapText="0"/>
    </xf>
    <xf borderId="12" fillId="4" fontId="1" numFmtId="0" xfId="0" applyAlignment="1" applyBorder="1" applyFont="1">
      <alignment shrinkToFit="0" vertical="top" wrapText="0"/>
    </xf>
    <xf borderId="3" fillId="0" fontId="4" numFmtId="0" xfId="0" applyAlignment="1" applyBorder="1" applyFont="1">
      <alignment horizontal="center" shrinkToFit="0" vertical="center" wrapText="0"/>
    </xf>
    <xf borderId="13" fillId="3" fontId="8" numFmtId="0" xfId="0" applyAlignment="1" applyBorder="1" applyFont="1">
      <alignment horizontal="center" shrinkToFit="0" wrapText="0"/>
    </xf>
    <xf borderId="14" fillId="5" fontId="0" numFmtId="164" xfId="0" applyAlignment="1" applyBorder="1" applyFill="1" applyFont="1" applyNumberFormat="1">
      <alignment shrinkToFit="0" wrapText="0"/>
    </xf>
    <xf borderId="15" fillId="0" fontId="6" numFmtId="0" xfId="0" applyAlignment="1" applyBorder="1" applyFont="1">
      <alignment shrinkToFit="0" wrapText="0"/>
    </xf>
    <xf borderId="16" fillId="5" fontId="0" numFmtId="164" xfId="0" applyAlignment="1" applyBorder="1" applyFont="1" applyNumberFormat="1">
      <alignment shrinkToFit="0" wrapText="0"/>
    </xf>
    <xf borderId="17" fillId="0" fontId="6" numFmtId="0" xfId="0" applyAlignment="1" applyBorder="1" applyFont="1">
      <alignment shrinkToFit="0" wrapText="0"/>
    </xf>
    <xf borderId="0" fillId="0" fontId="9" numFmtId="0" xfId="0" applyAlignment="1" applyFont="1">
      <alignment shrinkToFit="0" wrapText="0"/>
    </xf>
    <xf borderId="18" fillId="0" fontId="5" numFmtId="0" xfId="0" applyBorder="1" applyFont="1"/>
    <xf borderId="19" fillId="0" fontId="9" numFmtId="0" xfId="0" applyAlignment="1" applyBorder="1" applyFont="1">
      <alignment shrinkToFit="0" wrapText="0"/>
    </xf>
    <xf borderId="20" fillId="0" fontId="5" numFmtId="0" xfId="0" applyBorder="1" applyFont="1"/>
    <xf borderId="21" fillId="6" fontId="10" numFmtId="164" xfId="0" applyAlignment="1" applyBorder="1" applyFill="1" applyFont="1" applyNumberFormat="1">
      <alignment shrinkToFit="0" wrapText="0"/>
    </xf>
    <xf borderId="22" fillId="6" fontId="10" numFmtId="17" xfId="0" applyAlignment="1" applyBorder="1" applyFont="1" applyNumberFormat="1">
      <alignment shrinkToFit="0" wrapText="0"/>
    </xf>
    <xf borderId="2" fillId="3" fontId="11" numFmtId="0" xfId="0" applyAlignment="1" applyBorder="1" applyFont="1">
      <alignment horizontal="center" shrinkToFit="0" wrapText="0"/>
    </xf>
    <xf borderId="23" fillId="6" fontId="10" numFmtId="17" xfId="0" applyAlignment="1" applyBorder="1" applyFont="1" applyNumberFormat="1">
      <alignment shrinkToFit="0" wrapText="0"/>
    </xf>
    <xf borderId="24" fillId="3" fontId="6" numFmtId="0" xfId="0" applyAlignment="1" applyBorder="1" applyFont="1">
      <alignment shrinkToFit="0" wrapText="0"/>
    </xf>
    <xf borderId="12" fillId="7" fontId="12" numFmtId="0" xfId="0" applyAlignment="1" applyBorder="1" applyFill="1" applyFont="1">
      <alignment horizontal="center" shrinkToFit="0" wrapText="0"/>
    </xf>
    <xf borderId="25" fillId="3" fontId="6" numFmtId="0" xfId="0" applyAlignment="1" applyBorder="1" applyFont="1">
      <alignment shrinkToFit="0" wrapText="0"/>
    </xf>
    <xf borderId="0" fillId="0" fontId="0" numFmtId="165" xfId="0" applyAlignment="1" applyFont="1" applyNumberFormat="1">
      <alignment shrinkToFit="0" wrapText="0"/>
    </xf>
    <xf borderId="26" fillId="4" fontId="1" numFmtId="0" xfId="0" applyAlignment="1" applyBorder="1" applyFont="1">
      <alignment shrinkToFit="0" vertical="top" wrapText="0"/>
    </xf>
    <xf borderId="9" fillId="4" fontId="1" numFmtId="0" xfId="0" applyAlignment="1" applyBorder="1" applyFont="1">
      <alignment shrinkToFit="0" vertical="top" wrapText="0"/>
    </xf>
    <xf borderId="1" fillId="0" fontId="13" numFmtId="49" xfId="0" applyAlignment="1" applyBorder="1" applyFont="1" applyNumberFormat="1">
      <alignment horizontal="center" shrinkToFit="0" vertical="top" wrapText="1"/>
    </xf>
    <xf borderId="27" fillId="0" fontId="13" numFmtId="49" xfId="0" applyAlignment="1" applyBorder="1" applyFont="1" applyNumberFormat="1">
      <alignment horizontal="center" shrinkToFit="0" vertical="top" wrapText="1"/>
    </xf>
    <xf borderId="28" fillId="0" fontId="0" numFmtId="0" xfId="0" applyAlignment="1" applyBorder="1" applyFont="1">
      <alignment shrinkToFit="0" wrapText="0"/>
    </xf>
    <xf borderId="29" fillId="0" fontId="5" numFmtId="0" xfId="0" applyBorder="1" applyFont="1"/>
    <xf borderId="30" fillId="8" fontId="10" numFmtId="164" xfId="0" applyAlignment="1" applyBorder="1" applyFill="1" applyFont="1" applyNumberFormat="1">
      <alignment shrinkToFit="0" vertical="center" wrapText="0"/>
    </xf>
    <xf borderId="1" fillId="0" fontId="14" numFmtId="49" xfId="0" applyAlignment="1" applyBorder="1" applyFont="1" applyNumberFormat="1">
      <alignment horizontal="left" shrinkToFit="0" vertical="top" wrapText="1"/>
    </xf>
    <xf borderId="31" fillId="9" fontId="10" numFmtId="166" xfId="0" applyAlignment="1" applyBorder="1" applyFill="1" applyFont="1" applyNumberFormat="1">
      <alignment shrinkToFit="0" vertical="center" wrapText="0"/>
    </xf>
    <xf borderId="32" fillId="0" fontId="5" numFmtId="0" xfId="0" applyBorder="1" applyFont="1"/>
    <xf borderId="1" fillId="9" fontId="15" numFmtId="166" xfId="0" applyAlignment="1" applyBorder="1" applyFont="1" applyNumberFormat="1">
      <alignment horizontal="right" shrinkToFit="0" vertical="center" wrapText="0"/>
    </xf>
    <xf borderId="1" fillId="0" fontId="16" numFmtId="167" xfId="0" applyAlignment="1" applyBorder="1" applyFont="1" applyNumberFormat="1">
      <alignment horizontal="right" shrinkToFit="0" vertical="top" wrapText="1"/>
    </xf>
    <xf borderId="33" fillId="9" fontId="15" numFmtId="166" xfId="0" applyAlignment="1" applyBorder="1" applyFont="1" applyNumberFormat="1">
      <alignment horizontal="right" shrinkToFit="0" vertical="center" wrapText="0"/>
    </xf>
    <xf borderId="27" fillId="0" fontId="16" numFmtId="167" xfId="0" applyAlignment="1" applyBorder="1" applyFont="1" applyNumberFormat="1">
      <alignment horizontal="right" shrinkToFit="0" vertical="top" wrapText="1"/>
    </xf>
    <xf borderId="7" fillId="10" fontId="0" numFmtId="3" xfId="0" applyAlignment="1" applyBorder="1" applyFill="1" applyFont="1" applyNumberFormat="1">
      <alignment shrinkToFit="0" wrapText="0"/>
    </xf>
    <xf borderId="27" fillId="0" fontId="1" numFmtId="0" xfId="0" applyAlignment="1" applyBorder="1" applyFont="1">
      <alignment shrinkToFit="0" vertical="top" wrapText="0"/>
    </xf>
    <xf borderId="34" fillId="6" fontId="0" numFmtId="164" xfId="0" applyAlignment="1" applyBorder="1" applyFont="1" applyNumberFormat="1">
      <alignment shrinkToFit="0" vertical="center" wrapText="0"/>
    </xf>
    <xf borderId="35" fillId="0" fontId="5" numFmtId="0" xfId="0" applyBorder="1" applyFont="1"/>
    <xf borderId="36" fillId="9" fontId="10" numFmtId="165" xfId="0" applyAlignment="1" applyBorder="1" applyFont="1" applyNumberFormat="1">
      <alignment shrinkToFit="0" vertical="center" wrapText="0"/>
    </xf>
    <xf borderId="19" fillId="0" fontId="5" numFmtId="0" xfId="0" applyBorder="1" applyFont="1"/>
    <xf borderId="1" fillId="2" fontId="17" numFmtId="165" xfId="0" applyAlignment="1" applyBorder="1" applyFont="1" applyNumberFormat="1">
      <alignment horizontal="right" shrinkToFit="0" vertical="center" wrapText="0"/>
    </xf>
    <xf borderId="37" fillId="0" fontId="5" numFmtId="0" xfId="0" applyBorder="1" applyFont="1"/>
    <xf borderId="33" fillId="2" fontId="17" numFmtId="165" xfId="0" applyAlignment="1" applyBorder="1" applyFont="1" applyNumberFormat="1">
      <alignment horizontal="right" shrinkToFit="0" vertical="center" wrapText="0"/>
    </xf>
    <xf borderId="38" fillId="0" fontId="5" numFmtId="0" xfId="0" applyBorder="1" applyFont="1"/>
    <xf borderId="39" fillId="6" fontId="0" numFmtId="164" xfId="0" applyAlignment="1" applyBorder="1" applyFont="1" applyNumberFormat="1">
      <alignment shrinkToFit="0" vertical="center" wrapText="0"/>
    </xf>
    <xf borderId="40" fillId="0" fontId="5" numFmtId="0" xfId="0" applyBorder="1" applyFont="1"/>
    <xf borderId="1" fillId="0" fontId="18" numFmtId="49" xfId="0" applyAlignment="1" applyBorder="1" applyFont="1" applyNumberFormat="1">
      <alignment horizontal="left" shrinkToFit="0" vertical="top" wrapText="1"/>
    </xf>
    <xf borderId="41" fillId="6" fontId="0" numFmtId="164" xfId="0" applyAlignment="1" applyBorder="1" applyFont="1" applyNumberFormat="1">
      <alignment shrinkToFit="0" vertical="center" wrapText="0"/>
    </xf>
    <xf borderId="42" fillId="9" fontId="10" numFmtId="165" xfId="0" applyAlignment="1" applyBorder="1" applyFont="1" applyNumberFormat="1">
      <alignment shrinkToFit="0" vertical="center" wrapText="0"/>
    </xf>
    <xf borderId="1" fillId="2" fontId="7" numFmtId="165" xfId="0" applyAlignment="1" applyBorder="1" applyFont="1" applyNumberFormat="1">
      <alignment shrinkToFit="0" vertical="center" wrapText="0"/>
    </xf>
    <xf borderId="43" fillId="2" fontId="11" numFmtId="0" xfId="0" applyAlignment="1" applyBorder="1" applyFont="1">
      <alignment shrinkToFit="0" wrapText="0"/>
    </xf>
    <xf borderId="0" fillId="0" fontId="0" numFmtId="165" xfId="0" applyAlignment="1" applyFont="1" applyNumberFormat="1">
      <alignment shrinkToFit="0" vertical="center" wrapText="0"/>
    </xf>
    <xf borderId="44" fillId="0" fontId="5" numFmtId="0" xfId="0" applyBorder="1" applyFont="1"/>
    <xf borderId="45" fillId="0" fontId="5" numFmtId="0" xfId="0" applyBorder="1" applyFont="1"/>
    <xf borderId="46" fillId="2" fontId="6" numFmtId="0" xfId="0" applyAlignment="1" applyBorder="1" applyFont="1">
      <alignment shrinkToFit="0" wrapText="0"/>
    </xf>
    <xf borderId="47" fillId="9" fontId="10" numFmtId="165" xfId="0" applyAlignment="1" applyBorder="1" applyFont="1" applyNumberFormat="1">
      <alignment shrinkToFit="0" vertical="center" wrapText="0"/>
    </xf>
    <xf borderId="48" fillId="0" fontId="5" numFmtId="0" xfId="0" applyBorder="1" applyFont="1"/>
    <xf borderId="49" fillId="2" fontId="6" numFmtId="0" xfId="0" applyAlignment="1" applyBorder="1" applyFont="1">
      <alignment shrinkToFit="0" wrapText="0"/>
    </xf>
    <xf borderId="1" fillId="9" fontId="15" numFmtId="165" xfId="0" applyAlignment="1" applyBorder="1" applyFont="1" applyNumberFormat="1">
      <alignment horizontal="right" shrinkToFit="0" vertical="center" wrapText="0"/>
    </xf>
    <xf borderId="50" fillId="2" fontId="6" numFmtId="0" xfId="0" applyAlignment="1" applyBorder="1" applyFont="1">
      <alignment shrinkToFit="0" wrapText="0"/>
    </xf>
    <xf borderId="50" fillId="2" fontId="6" numFmtId="10" xfId="0" applyAlignment="1" applyBorder="1" applyFont="1" applyNumberFormat="1">
      <alignment shrinkToFit="0" wrapText="0"/>
    </xf>
    <xf borderId="33" fillId="9" fontId="15" numFmtId="165" xfId="0" applyAlignment="1" applyBorder="1" applyFont="1" applyNumberFormat="1">
      <alignment horizontal="right" shrinkToFit="0" vertical="center" wrapText="0"/>
    </xf>
    <xf borderId="1" fillId="11" fontId="19" numFmtId="49" xfId="0" applyAlignment="1" applyBorder="1" applyFill="1" applyFont="1" applyNumberFormat="1">
      <alignment horizontal="left" shrinkToFit="0" vertical="top" wrapText="1"/>
    </xf>
    <xf borderId="1" fillId="11" fontId="1" numFmtId="167" xfId="0" applyAlignment="1" applyBorder="1" applyFont="1" applyNumberFormat="1">
      <alignment shrinkToFit="0" vertical="top" wrapText="0"/>
    </xf>
    <xf borderId="1" fillId="6" fontId="0" numFmtId="164" xfId="0" applyAlignment="1" applyBorder="1" applyFont="1" applyNumberFormat="1">
      <alignment shrinkToFit="0" vertical="center" wrapText="0"/>
    </xf>
    <xf borderId="1" fillId="11" fontId="20" numFmtId="167" xfId="0" applyAlignment="1" applyBorder="1" applyFont="1" applyNumberFormat="1">
      <alignment horizontal="right" shrinkToFit="0" vertical="top" wrapText="1"/>
    </xf>
    <xf borderId="1" fillId="9" fontId="10" numFmtId="165" xfId="0" applyAlignment="1" applyBorder="1" applyFont="1" applyNumberFormat="1">
      <alignment shrinkToFit="0" vertical="center" wrapText="0"/>
    </xf>
    <xf borderId="1" fillId="11" fontId="20" numFmtId="10" xfId="0" applyAlignment="1" applyBorder="1" applyFont="1" applyNumberFormat="1">
      <alignment horizontal="right" shrinkToFit="0" vertical="top" wrapText="1"/>
    </xf>
    <xf borderId="51" fillId="11" fontId="1" numFmtId="167" xfId="0" applyAlignment="1" applyBorder="1" applyFont="1" applyNumberFormat="1">
      <alignment shrinkToFit="0" vertical="top" wrapText="0"/>
    </xf>
    <xf borderId="46" fillId="2" fontId="8" numFmtId="167" xfId="0" applyAlignment="1" applyBorder="1" applyFont="1" applyNumberFormat="1">
      <alignment horizontal="center" shrinkToFit="0" wrapText="0"/>
    </xf>
    <xf borderId="51" fillId="11" fontId="20" numFmtId="167" xfId="0" applyAlignment="1" applyBorder="1" applyFont="1" applyNumberFormat="1">
      <alignment horizontal="right" shrinkToFit="0" vertical="top" wrapText="1"/>
    </xf>
    <xf borderId="1" fillId="2" fontId="17" numFmtId="167" xfId="0" applyAlignment="1" applyBorder="1" applyFont="1" applyNumberFormat="1">
      <alignment horizontal="right" shrinkToFit="0" vertical="center" wrapText="0"/>
    </xf>
    <xf borderId="51" fillId="11" fontId="20" numFmtId="10" xfId="0" applyAlignment="1" applyBorder="1" applyFont="1" applyNumberFormat="1">
      <alignment horizontal="right" shrinkToFit="0" vertical="top" wrapText="1"/>
    </xf>
    <xf borderId="50" fillId="2" fontId="6" numFmtId="10" xfId="0" applyAlignment="1" applyBorder="1" applyFont="1" applyNumberFormat="1">
      <alignment horizontal="center" shrinkToFit="0" wrapText="0"/>
    </xf>
    <xf borderId="1" fillId="0" fontId="13" numFmtId="49" xfId="0" applyAlignment="1" applyBorder="1" applyFont="1" applyNumberFormat="1">
      <alignment horizontal="left" shrinkToFit="0" vertical="top" wrapText="1"/>
    </xf>
    <xf borderId="0" fillId="0" fontId="0" numFmtId="164" xfId="0" applyAlignment="1" applyFont="1" applyNumberFormat="1">
      <alignment shrinkToFit="0" wrapText="0"/>
    </xf>
    <xf borderId="1" fillId="0" fontId="13" numFmtId="167" xfId="0" applyAlignment="1" applyBorder="1" applyFont="1" applyNumberFormat="1">
      <alignment horizontal="right" shrinkToFit="0" vertical="top" wrapText="1"/>
    </xf>
    <xf borderId="43" fillId="2" fontId="21" numFmtId="0" xfId="0" applyAlignment="1" applyBorder="1" applyFont="1">
      <alignment shrinkToFit="0" wrapText="0"/>
    </xf>
    <xf borderId="27" fillId="0" fontId="13" numFmtId="167" xfId="0" applyAlignment="1" applyBorder="1" applyFont="1" applyNumberFormat="1">
      <alignment horizontal="right" shrinkToFit="0" vertical="top" wrapText="1"/>
    </xf>
    <xf borderId="46" fillId="2" fontId="6" numFmtId="167" xfId="0" applyAlignment="1" applyBorder="1" applyFont="1" applyNumberFormat="1">
      <alignment horizontal="center" shrinkToFit="0" wrapText="0"/>
    </xf>
    <xf borderId="1" fillId="0" fontId="16" numFmtId="49" xfId="0" applyAlignment="1" applyBorder="1" applyFont="1" applyNumberFormat="1">
      <alignment horizontal="left" shrinkToFit="0" vertical="top" wrapText="1"/>
    </xf>
    <xf borderId="50" fillId="2" fontId="11" numFmtId="10" xfId="0" applyAlignment="1" applyBorder="1" applyFont="1" applyNumberFormat="1">
      <alignment horizontal="center" shrinkToFit="0" wrapText="0"/>
    </xf>
    <xf borderId="1" fillId="5" fontId="17" numFmtId="3" xfId="0" applyAlignment="1" applyBorder="1" applyFont="1" applyNumberFormat="1">
      <alignment horizontal="right" shrinkToFit="0" wrapText="0"/>
    </xf>
    <xf borderId="1" fillId="5" fontId="15" numFmtId="0" xfId="0" applyAlignment="1" applyBorder="1" applyFont="1">
      <alignment shrinkToFit="0" vertical="center" wrapText="0"/>
    </xf>
    <xf borderId="46" fillId="2" fontId="6" numFmtId="167" xfId="0" applyAlignment="1" applyBorder="1" applyFont="1" applyNumberFormat="1">
      <alignment shrinkToFit="0" wrapText="0"/>
    </xf>
    <xf borderId="1" fillId="2" fontId="17" numFmtId="168" xfId="0" applyAlignment="1" applyBorder="1" applyFont="1" applyNumberFormat="1">
      <alignment horizontal="right" shrinkToFit="0" vertical="center" wrapText="0"/>
    </xf>
    <xf borderId="33" fillId="2" fontId="17" numFmtId="168" xfId="0" applyAlignment="1" applyBorder="1" applyFont="1" applyNumberFormat="1">
      <alignment horizontal="right" shrinkToFit="0" vertical="center" wrapText="0"/>
    </xf>
    <xf borderId="1" fillId="2" fontId="17" numFmtId="168" xfId="0" applyAlignment="1" applyBorder="1" applyFont="1" applyNumberFormat="1">
      <alignment horizontal="right" shrinkToFit="0" wrapText="0"/>
    </xf>
    <xf borderId="1" fillId="2" fontId="7" numFmtId="3" xfId="0" applyAlignment="1" applyBorder="1" applyFont="1" applyNumberFormat="1">
      <alignment shrinkToFit="0" wrapText="0"/>
    </xf>
    <xf borderId="1" fillId="2" fontId="7" numFmtId="0" xfId="0" applyAlignment="1" applyBorder="1" applyFont="1">
      <alignment shrinkToFit="0" vertical="center" wrapText="0"/>
    </xf>
    <xf borderId="33" fillId="2" fontId="7" numFmtId="0" xfId="0" applyAlignment="1" applyBorder="1" applyFont="1">
      <alignment shrinkToFit="0" vertical="center" wrapText="0"/>
    </xf>
    <xf borderId="1" fillId="2" fontId="7" numFmtId="0" xfId="0" applyAlignment="1" applyBorder="1" applyFont="1">
      <alignment shrinkToFit="0" wrapText="0"/>
    </xf>
    <xf borderId="28" fillId="5" fontId="17" numFmtId="3" xfId="0" applyAlignment="1" applyBorder="1" applyFont="1" applyNumberFormat="1">
      <alignment horizontal="right" shrinkToFit="0" vertical="center" wrapText="0"/>
    </xf>
    <xf borderId="1" fillId="6" fontId="17" numFmtId="0" xfId="0" applyAlignment="1" applyBorder="1" applyFont="1">
      <alignment shrinkToFit="0" vertical="center" wrapText="0"/>
    </xf>
    <xf borderId="1" fillId="9" fontId="7" numFmtId="0" xfId="0" applyAlignment="1" applyBorder="1" applyFont="1">
      <alignment shrinkToFit="0" vertical="center" wrapText="0"/>
    </xf>
    <xf borderId="1" fillId="2" fontId="17" numFmtId="0" xfId="0" applyAlignment="1" applyBorder="1" applyFont="1">
      <alignment horizontal="right" shrinkToFit="0" wrapText="0"/>
    </xf>
    <xf borderId="10" fillId="0" fontId="22" numFmtId="167" xfId="0" applyAlignment="1" applyBorder="1" applyFont="1" applyNumberFormat="1">
      <alignment horizontal="center" shrinkToFit="0" vertical="top" wrapText="1"/>
    </xf>
    <xf borderId="52" fillId="0" fontId="5" numFmtId="0" xfId="0" applyBorder="1" applyFont="1"/>
    <xf borderId="1" fillId="0" fontId="1" numFmtId="167" xfId="0" applyAlignment="1" applyBorder="1" applyFont="1" applyNumberFormat="1">
      <alignment shrinkToFit="0" vertical="top" wrapText="0"/>
    </xf>
    <xf borderId="27" fillId="0" fontId="1" numFmtId="167" xfId="0" applyAlignment="1" applyBorder="1" applyFont="1" applyNumberFormat="1">
      <alignment shrinkToFit="0" vertical="top" wrapText="0"/>
    </xf>
    <xf borderId="53" fillId="0" fontId="5" numFmtId="0" xfId="0" applyBorder="1" applyFont="1"/>
    <xf borderId="36" fillId="9" fontId="10" numFmtId="10" xfId="0" applyAlignment="1" applyBorder="1" applyFont="1" applyNumberFormat="1">
      <alignment shrinkToFit="0" vertical="center" wrapText="0"/>
    </xf>
    <xf borderId="1" fillId="2" fontId="17" numFmtId="9" xfId="0" applyAlignment="1" applyBorder="1" applyFont="1" applyNumberFormat="1">
      <alignment horizontal="right" shrinkToFit="0" vertical="center" wrapText="0"/>
    </xf>
    <xf borderId="33" fillId="2" fontId="17" numFmtId="9" xfId="0" applyAlignment="1" applyBorder="1" applyFont="1" applyNumberFormat="1">
      <alignment horizontal="right" shrinkToFit="0" vertical="center" wrapText="0"/>
    </xf>
    <xf borderId="0" fillId="0" fontId="4" numFmtId="0" xfId="0" applyAlignment="1" applyFont="1">
      <alignment horizontal="center" shrinkToFit="0" vertical="center" wrapText="0"/>
    </xf>
    <xf borderId="54" fillId="0" fontId="4" numFmtId="0" xfId="0" applyAlignment="1" applyBorder="1" applyFont="1">
      <alignment horizontal="center" shrinkToFit="0" vertical="center" wrapText="0"/>
    </xf>
    <xf borderId="55" fillId="9" fontId="10" numFmtId="165" xfId="0" applyAlignment="1" applyBorder="1" applyFont="1" applyNumberFormat="1">
      <alignment shrinkToFit="0" wrapText="0"/>
    </xf>
    <xf borderId="56" fillId="8" fontId="10" numFmtId="164" xfId="0" applyAlignment="1" applyBorder="1" applyFont="1" applyNumberFormat="1">
      <alignment shrinkToFit="0" vertical="center" wrapText="0"/>
    </xf>
    <xf borderId="1" fillId="8" fontId="10" numFmtId="165" xfId="0" applyAlignment="1" applyBorder="1" applyFont="1" applyNumberFormat="1">
      <alignment shrinkToFit="0" vertical="center" wrapText="0"/>
    </xf>
    <xf borderId="27" fillId="0" fontId="3" numFmtId="0" xfId="0" applyAlignment="1" applyBorder="1" applyFont="1">
      <alignment horizontal="right" shrinkToFit="0" vertical="top" wrapText="1"/>
    </xf>
    <xf borderId="33" fillId="8" fontId="10" numFmtId="165" xfId="0" applyAlignment="1" applyBorder="1" applyFont="1" applyNumberFormat="1">
      <alignment shrinkToFit="0" vertical="center" wrapText="0"/>
    </xf>
    <xf borderId="46" fillId="2" fontId="21" numFmtId="0" xfId="0" applyAlignment="1" applyBorder="1" applyFont="1">
      <alignment shrinkToFit="0" wrapText="0"/>
    </xf>
    <xf borderId="1" fillId="0" fontId="0" numFmtId="164" xfId="0" applyAlignment="1" applyBorder="1" applyFont="1" applyNumberFormat="1">
      <alignment shrinkToFit="0" vertical="center" wrapText="0"/>
    </xf>
    <xf borderId="1" fillId="11" fontId="23" numFmtId="49" xfId="0" applyAlignment="1" applyBorder="1" applyFont="1" applyNumberFormat="1">
      <alignment horizontal="left" shrinkToFit="0" vertical="top" wrapText="1"/>
    </xf>
    <xf borderId="0" fillId="0" fontId="0" numFmtId="164" xfId="0" applyAlignment="1" applyFont="1" applyNumberFormat="1">
      <alignment shrinkToFit="0" vertical="center" wrapText="0"/>
    </xf>
    <xf borderId="1" fillId="8" fontId="10" numFmtId="164" xfId="0" applyAlignment="1" applyBorder="1" applyFont="1" applyNumberFormat="1">
      <alignment shrinkToFit="0" vertical="center" wrapText="0"/>
    </xf>
    <xf borderId="1" fillId="8" fontId="10" numFmtId="0" xfId="0" applyAlignment="1" applyBorder="1" applyFont="1">
      <alignment shrinkToFit="0" vertical="center" wrapText="0"/>
    </xf>
    <xf borderId="57" fillId="0" fontId="9" numFmtId="0" xfId="0" applyAlignment="1" applyBorder="1" applyFont="1">
      <alignment shrinkToFit="0" vertical="center" wrapText="0"/>
    </xf>
    <xf borderId="58" fillId="6" fontId="10" numFmtId="164" xfId="0" applyAlignment="1" applyBorder="1" applyFont="1" applyNumberFormat="1">
      <alignment shrinkToFit="0" vertical="center" wrapText="0"/>
    </xf>
    <xf borderId="31" fillId="6" fontId="10" numFmtId="17" xfId="0" applyAlignment="1" applyBorder="1" applyFont="1" applyNumberFormat="1">
      <alignment shrinkToFit="0" vertical="center" wrapText="0"/>
    </xf>
    <xf borderId="59" fillId="6" fontId="10" numFmtId="17" xfId="0" applyAlignment="1" applyBorder="1" applyFont="1" applyNumberFormat="1">
      <alignment shrinkToFit="0" vertical="center" wrapText="0"/>
    </xf>
    <xf borderId="55" fillId="9" fontId="10" numFmtId="165" xfId="0" applyAlignment="1" applyBorder="1" applyFont="1" applyNumberFormat="1">
      <alignment shrinkToFit="0" vertical="center" wrapText="0"/>
    </xf>
    <xf borderId="53" fillId="0" fontId="0" numFmtId="165" xfId="0" applyAlignment="1" applyBorder="1" applyFont="1" applyNumberFormat="1">
      <alignment shrinkToFit="0" vertical="center" wrapText="0"/>
    </xf>
    <xf borderId="60" fillId="0" fontId="0" numFmtId="165" xfId="0" applyAlignment="1" applyBorder="1" applyFont="1" applyNumberFormat="1">
      <alignment shrinkToFit="0" vertical="center" wrapText="0"/>
    </xf>
    <xf borderId="1" fillId="0" fontId="0" numFmtId="165" xfId="0" applyAlignment="1" applyBorder="1" applyFont="1" applyNumberFormat="1">
      <alignment shrinkToFit="0" vertical="center" wrapText="0"/>
    </xf>
    <xf borderId="3" fillId="0" fontId="0" numFmtId="165" xfId="0" applyAlignment="1" applyBorder="1" applyFont="1" applyNumberFormat="1">
      <alignment shrinkToFit="0" vertical="center" wrapText="0"/>
    </xf>
    <xf borderId="0" fillId="0" fontId="0" numFmtId="0" xfId="0" applyAlignment="1" applyFont="1">
      <alignment shrinkToFit="0" vertical="center" wrapText="0"/>
    </xf>
    <xf borderId="1" fillId="7" fontId="7" numFmtId="0" xfId="0" applyAlignment="1" applyBorder="1" applyFont="1">
      <alignment shrinkToFit="0" wrapText="0"/>
    </xf>
    <xf borderId="1" fillId="11" fontId="1" numFmtId="0" xfId="0" applyAlignment="1" applyBorder="1" applyFont="1">
      <alignment shrinkToFit="0" vertical="top" wrapText="0"/>
    </xf>
    <xf borderId="51" fillId="11" fontId="1" numFmtId="0" xfId="0" applyAlignment="1" applyBorder="1" applyFont="1">
      <alignment shrinkToFit="0" vertical="top" wrapText="0"/>
    </xf>
    <xf borderId="7" fillId="2" fontId="21" numFmtId="0" xfId="0" applyAlignment="1" applyBorder="1" applyFont="1">
      <alignment shrinkToFit="0" wrapText="0"/>
    </xf>
    <xf borderId="0" fillId="0" fontId="7" numFmtId="0" xfId="0" applyAlignment="1" applyFont="1">
      <alignment shrinkToFit="0" wrapText="0"/>
    </xf>
    <xf borderId="10" fillId="0" fontId="7" numFmtId="0" xfId="0" applyAlignment="1" applyBorder="1" applyFont="1">
      <alignment shrinkToFit="0" wrapText="0"/>
    </xf>
    <xf borderId="1" fillId="7" fontId="0" numFmtId="0" xfId="0" applyAlignment="1" applyBorder="1" applyFont="1">
      <alignment shrinkToFit="0" wrapText="0"/>
    </xf>
    <xf borderId="1" fillId="2" fontId="17" numFmtId="169" xfId="0" applyAlignment="1" applyBorder="1" applyFont="1" applyNumberFormat="1">
      <alignment horizontal="right" shrinkToFit="0" vertical="center" wrapText="0"/>
    </xf>
    <xf borderId="1" fillId="7" fontId="0" numFmtId="164" xfId="0" applyAlignment="1" applyBorder="1" applyFont="1" applyNumberFormat="1">
      <alignment shrinkToFit="0" wrapText="0"/>
    </xf>
    <xf borderId="1" fillId="0" fontId="0" numFmtId="164" xfId="0" applyAlignment="1" applyBorder="1" applyFont="1" applyNumberFormat="1">
      <alignment shrinkToFit="0" wrapText="0"/>
    </xf>
    <xf borderId="12" fillId="11" fontId="24" numFmtId="49" xfId="0" applyAlignment="1" applyBorder="1" applyFont="1" applyNumberFormat="1">
      <alignment horizontal="left" shrinkToFit="0" vertical="top" wrapText="1"/>
    </xf>
    <xf borderId="53" fillId="0" fontId="0" numFmtId="170" xfId="0" applyAlignment="1" applyBorder="1" applyFont="1" applyNumberFormat="1">
      <alignment shrinkToFit="0" vertical="center" wrapText="0"/>
    </xf>
    <xf borderId="1" fillId="0" fontId="0" numFmtId="171" xfId="0" applyAlignment="1" applyBorder="1" applyFont="1" applyNumberFormat="1">
      <alignment horizontal="left" shrinkToFit="0" wrapText="0"/>
    </xf>
    <xf borderId="54" fillId="0" fontId="1" numFmtId="0" xfId="0" applyAlignment="1" applyBorder="1" applyFont="1">
      <alignment shrinkToFit="0" vertical="top" wrapText="0"/>
    </xf>
    <xf borderId="0" fillId="0" fontId="1" numFmtId="0" xfId="0" applyAlignment="1" applyFont="1">
      <alignment shrinkToFit="0" vertical="top" wrapText="0"/>
    </xf>
    <xf borderId="53" fillId="0" fontId="3" numFmtId="0" xfId="0" applyAlignment="1" applyBorder="1" applyFont="1">
      <alignment shrinkToFit="0" vertical="top" wrapText="1"/>
    </xf>
    <xf borderId="9" fillId="11" fontId="20" numFmtId="167" xfId="0" applyAlignment="1" applyBorder="1" applyFont="1" applyNumberFormat="1">
      <alignment horizontal="right" shrinkToFit="0" vertical="top" wrapText="1"/>
    </xf>
    <xf borderId="43" fillId="2" fontId="25" numFmtId="0" xfId="0" applyAlignment="1" applyBorder="1" applyFont="1">
      <alignment horizontal="right" shrinkToFit="0" wrapText="0"/>
    </xf>
    <xf borderId="46" fillId="2" fontId="26" numFmtId="167" xfId="0" applyAlignment="1" applyBorder="1" applyFont="1" applyNumberFormat="1">
      <alignment horizontal="center" shrinkToFit="0" wrapText="0"/>
    </xf>
    <xf borderId="7" fillId="6" fontId="0" numFmtId="164" xfId="0" applyAlignment="1" applyBorder="1" applyFont="1" applyNumberFormat="1">
      <alignment shrinkToFit="0" vertical="center" wrapText="0"/>
    </xf>
    <xf borderId="28" fillId="0" fontId="1" numFmtId="0" xfId="0" applyAlignment="1" applyBorder="1" applyFont="1">
      <alignment shrinkToFit="0" vertical="top" wrapText="0"/>
    </xf>
    <xf borderId="9" fillId="9" fontId="10" numFmtId="165" xfId="0" applyAlignment="1" applyBorder="1" applyFont="1" applyNumberFormat="1">
      <alignment shrinkToFit="0" vertical="center" wrapText="0"/>
    </xf>
    <xf borderId="28" fillId="0" fontId="1" numFmtId="167" xfId="0" applyAlignment="1" applyBorder="1" applyFont="1" applyNumberFormat="1">
      <alignment shrinkToFit="0" vertical="top" wrapText="0"/>
    </xf>
    <xf borderId="54" fillId="0" fontId="0" numFmtId="165" xfId="0" applyAlignment="1" applyBorder="1" applyFont="1" applyNumberFormat="1">
      <alignment shrinkToFit="0" vertical="center" wrapText="0"/>
    </xf>
    <xf borderId="7" fillId="2" fontId="6" numFmtId="167" xfId="0" applyAlignment="1" applyBorder="1" applyFont="1" applyNumberFormat="1">
      <alignment shrinkToFit="0" wrapText="0"/>
    </xf>
    <xf borderId="7" fillId="2" fontId="17" numFmtId="164" xfId="0" applyAlignment="1" applyBorder="1" applyFont="1" applyNumberFormat="1">
      <alignment horizontal="right" shrinkToFit="0" wrapText="0"/>
    </xf>
    <xf borderId="7" fillId="2" fontId="15" numFmtId="164" xfId="0" applyAlignment="1" applyBorder="1" applyFont="1" applyNumberFormat="1">
      <alignment shrinkToFit="0" vertical="center" wrapText="0"/>
    </xf>
    <xf borderId="9" fillId="2" fontId="15" numFmtId="164" xfId="0" applyAlignment="1" applyBorder="1" applyFont="1" applyNumberFormat="1">
      <alignment horizontal="right" shrinkToFit="0" vertical="center" wrapText="0"/>
    </xf>
    <xf borderId="0" fillId="0" fontId="22" numFmtId="167" xfId="0" applyAlignment="1" applyFont="1" applyNumberFormat="1">
      <alignment horizontal="center" shrinkToFit="0" vertical="top" wrapText="1"/>
    </xf>
    <xf borderId="0" fillId="0" fontId="0" numFmtId="167" xfId="0" applyAlignment="1" applyFont="1" applyNumberFormat="1">
      <alignment shrinkToFit="0" wrapText="0"/>
    </xf>
    <xf borderId="9" fillId="2" fontId="17" numFmtId="164" xfId="0" applyAlignment="1" applyBorder="1" applyFont="1" applyNumberFormat="1">
      <alignment horizontal="right" shrinkToFit="0" vertical="center" wrapText="0"/>
    </xf>
    <xf borderId="1" fillId="2" fontId="17" numFmtId="164" xfId="0" applyAlignment="1" applyBorder="1" applyFont="1" applyNumberFormat="1">
      <alignment horizontal="right" shrinkToFit="0" wrapText="0"/>
    </xf>
    <xf borderId="1" fillId="0" fontId="1" numFmtId="172" xfId="0" applyAlignment="1" applyBorder="1" applyFont="1" applyNumberFormat="1">
      <alignment shrinkToFit="0" vertical="top" wrapText="0"/>
    </xf>
    <xf borderId="1" fillId="5" fontId="15" numFmtId="164" xfId="0" applyAlignment="1" applyBorder="1" applyFont="1" applyNumberFormat="1">
      <alignment shrinkToFit="0" vertical="center" wrapText="0"/>
    </xf>
    <xf borderId="7" fillId="2" fontId="26" numFmtId="167" xfId="0" applyAlignment="1" applyBorder="1" applyFont="1" applyNumberFormat="1">
      <alignment horizontal="center" shrinkToFit="0" wrapText="0"/>
    </xf>
    <xf borderId="1" fillId="2" fontId="17" numFmtId="164" xfId="0" applyAlignment="1" applyBorder="1" applyFont="1" applyNumberFormat="1">
      <alignment horizontal="right" shrinkToFit="0" vertical="center" wrapText="0"/>
    </xf>
    <xf borderId="33" fillId="2" fontId="17" numFmtId="164" xfId="0" applyAlignment="1" applyBorder="1" applyFont="1" applyNumberFormat="1">
      <alignment horizontal="right" shrinkToFit="0" vertical="center" wrapText="0"/>
    </xf>
    <xf borderId="1" fillId="2" fontId="7" numFmtId="164" xfId="0" applyAlignment="1" applyBorder="1" applyFont="1" applyNumberFormat="1">
      <alignment shrinkToFit="0" vertical="center" wrapText="0"/>
    </xf>
    <xf borderId="33" fillId="2" fontId="7" numFmtId="164" xfId="0" applyAlignment="1" applyBorder="1" applyFont="1" applyNumberFormat="1">
      <alignment shrinkToFit="0" vertical="center" wrapText="0"/>
    </xf>
    <xf borderId="49" fillId="2" fontId="6" numFmtId="167" xfId="0" applyAlignment="1" applyBorder="1" applyFont="1" applyNumberFormat="1">
      <alignment shrinkToFit="0" wrapText="0"/>
    </xf>
    <xf borderId="1" fillId="2" fontId="7" numFmtId="164" xfId="0" applyAlignment="1" applyBorder="1" applyFont="1" applyNumberFormat="1">
      <alignment shrinkToFit="0" wrapText="0"/>
    </xf>
    <xf borderId="1" fillId="6" fontId="17" numFmtId="164" xfId="0" applyAlignment="1" applyBorder="1" applyFont="1" applyNumberFormat="1">
      <alignment shrinkToFit="0" vertical="center" wrapText="0"/>
    </xf>
    <xf borderId="0" fillId="0" fontId="10" numFmtId="164" xfId="0" applyAlignment="1" applyFont="1" applyNumberFormat="1">
      <alignment shrinkToFit="0" vertical="center" wrapText="0"/>
    </xf>
    <xf borderId="43" fillId="12" fontId="27" numFmtId="0" xfId="0" applyAlignment="1" applyBorder="1" applyFill="1" applyFont="1">
      <alignment shrinkToFit="0" wrapText="0"/>
    </xf>
    <xf borderId="1" fillId="8" fontId="10" numFmtId="165" xfId="0" applyAlignment="1" applyBorder="1" applyFont="1" applyNumberFormat="1">
      <alignment shrinkToFit="0" wrapText="0"/>
    </xf>
    <xf borderId="7" fillId="2" fontId="28" numFmtId="0" xfId="0" applyAlignment="1" applyBorder="1" applyFont="1">
      <alignment shrinkToFit="0" wrapText="0"/>
    </xf>
    <xf borderId="1" fillId="0" fontId="0" numFmtId="165" xfId="0" applyAlignment="1" applyBorder="1" applyFont="1" applyNumberFormat="1">
      <alignment shrinkToFit="0" wrapText="0"/>
    </xf>
    <xf borderId="61" fillId="2" fontId="28" numFmtId="0" xfId="0" applyAlignment="1" applyBorder="1" applyFont="1">
      <alignment shrinkToFit="0" wrapText="0"/>
    </xf>
    <xf borderId="3" fillId="0" fontId="0" numFmtId="165" xfId="0" applyAlignment="1" applyBorder="1" applyFont="1" applyNumberFormat="1">
      <alignment shrinkToFit="0" wrapText="0"/>
    </xf>
    <xf borderId="43" fillId="2" fontId="29" numFmtId="0" xfId="0" applyAlignment="1" applyBorder="1" applyFont="1">
      <alignment horizontal="center" shrinkToFit="0" wrapText="0"/>
    </xf>
    <xf borderId="1" fillId="8" fontId="10" numFmtId="0" xfId="0" applyAlignment="1" applyBorder="1" applyFont="1">
      <alignment shrinkToFit="0" wrapText="0"/>
    </xf>
    <xf borderId="46" fillId="12" fontId="11" numFmtId="167" xfId="0" applyAlignment="1" applyBorder="1" applyFont="1" applyNumberFormat="1">
      <alignment horizontal="center" shrinkToFit="0" wrapText="0"/>
    </xf>
    <xf borderId="62" fillId="2" fontId="28" numFmtId="0" xfId="0" applyAlignment="1" applyBorder="1" applyFont="1">
      <alignment shrinkToFit="0" wrapText="0"/>
    </xf>
    <xf borderId="0" fillId="0" fontId="10" numFmtId="164" xfId="0" applyAlignment="1" applyFont="1" applyNumberFormat="1">
      <alignment shrinkToFit="0" wrapText="0"/>
    </xf>
    <xf borderId="50" fillId="2" fontId="28" numFmtId="0" xfId="0" applyAlignment="1" applyBorder="1" applyFont="1">
      <alignment shrinkToFit="0" wrapText="0"/>
    </xf>
    <xf borderId="7" fillId="12" fontId="11" numFmtId="167" xfId="0" applyAlignment="1" applyBorder="1" applyFont="1" applyNumberFormat="1">
      <alignment horizontal="center" shrinkToFit="0" wrapText="0"/>
    </xf>
    <xf borderId="25" fillId="3" fontId="11" numFmtId="17" xfId="0" applyAlignment="1" applyBorder="1" applyFont="1" applyNumberFormat="1">
      <alignment horizontal="center" shrinkToFit="0" wrapText="0"/>
    </xf>
    <xf borderId="50" fillId="12" fontId="6" numFmtId="10" xfId="0" applyAlignment="1" applyBorder="1" applyFont="1" applyNumberFormat="1">
      <alignment horizontal="center" shrinkToFit="0" wrapText="0"/>
    </xf>
    <xf borderId="63" fillId="3" fontId="11" numFmtId="17" xfId="0" applyAlignment="1" applyBorder="1" applyFont="1" applyNumberFormat="1">
      <alignment horizontal="center" shrinkToFit="0" wrapText="0"/>
    </xf>
    <xf borderId="7" fillId="12" fontId="27" numFmtId="0" xfId="0" applyAlignment="1" applyBorder="1" applyFont="1">
      <alignment shrinkToFit="0" wrapText="0"/>
    </xf>
    <xf borderId="7" fillId="12" fontId="6" numFmtId="0" xfId="0" applyAlignment="1" applyBorder="1" applyFont="1">
      <alignment shrinkToFit="0" wrapText="0"/>
    </xf>
    <xf borderId="49" fillId="12" fontId="6" numFmtId="0" xfId="0" applyAlignment="1" applyBorder="1" applyFont="1">
      <alignment shrinkToFit="0" wrapText="0"/>
    </xf>
    <xf borderId="64" fillId="2" fontId="28" numFmtId="0" xfId="0" applyAlignment="1" applyBorder="1" applyFont="1">
      <alignment shrinkToFit="0" wrapText="0"/>
    </xf>
    <xf borderId="49" fillId="12" fontId="11" numFmtId="167" xfId="0" applyAlignment="1" applyBorder="1" applyFont="1" applyNumberFormat="1">
      <alignment horizontal="center" shrinkToFit="0" wrapText="0"/>
    </xf>
    <xf borderId="65" fillId="0" fontId="5" numFmtId="0" xfId="0" applyBorder="1" applyFont="1"/>
    <xf borderId="66" fillId="3" fontId="30" numFmtId="0" xfId="0" applyAlignment="1" applyBorder="1" applyFont="1">
      <alignment shrinkToFit="0" wrapText="0"/>
    </xf>
    <xf borderId="67" fillId="2" fontId="6" numFmtId="0" xfId="0" applyAlignment="1" applyBorder="1" applyFont="1">
      <alignment shrinkToFit="0" wrapText="0"/>
    </xf>
    <xf borderId="51" fillId="2" fontId="28" numFmtId="0" xfId="0" applyAlignment="1" applyBorder="1" applyFont="1">
      <alignment shrinkToFit="0" wrapText="0"/>
    </xf>
    <xf borderId="68" fillId="2" fontId="6" numFmtId="0" xfId="0" applyAlignment="1" applyBorder="1" applyFont="1">
      <alignment shrinkToFit="0" wrapText="0"/>
    </xf>
    <xf borderId="51" fillId="2" fontId="11" numFmtId="167" xfId="0" applyAlignment="1" applyBorder="1" applyFont="1" applyNumberFormat="1">
      <alignment horizontal="center" shrinkToFit="0" wrapText="0"/>
    </xf>
    <xf borderId="69" fillId="2" fontId="11" numFmtId="167" xfId="0" applyAlignment="1" applyBorder="1" applyFont="1" applyNumberFormat="1">
      <alignment horizontal="center" shrinkToFit="0" wrapText="0"/>
    </xf>
    <xf borderId="7" fillId="2" fontId="6" numFmtId="167" xfId="0" applyAlignment="1" applyBorder="1" applyFont="1" applyNumberFormat="1">
      <alignment horizontal="center" shrinkToFit="0" wrapText="0"/>
    </xf>
    <xf borderId="70" fillId="2" fontId="11" numFmtId="167" xfId="0" applyAlignment="1" applyBorder="1" applyFont="1" applyNumberFormat="1">
      <alignment horizontal="center" shrinkToFit="0" wrapText="0"/>
    </xf>
    <xf borderId="51" fillId="3" fontId="30" numFmtId="0" xfId="0" applyAlignment="1" applyBorder="1" applyFont="1">
      <alignment shrinkToFit="0" wrapText="0"/>
    </xf>
    <xf borderId="0" fillId="0" fontId="28" numFmtId="0" xfId="0" applyAlignment="1" applyFont="1">
      <alignment shrinkToFit="0" wrapText="0"/>
    </xf>
    <xf borderId="51" fillId="13" fontId="31" numFmtId="0" xfId="0" applyAlignment="1" applyBorder="1" applyFill="1" applyFont="1">
      <alignment shrinkToFit="0" wrapText="0"/>
    </xf>
    <xf borderId="51" fillId="2" fontId="21" numFmtId="0" xfId="0" applyAlignment="1" applyBorder="1" applyFont="1">
      <alignment shrinkToFit="0" wrapText="0"/>
    </xf>
    <xf borderId="53" fillId="0" fontId="0" numFmtId="165" xfId="0" applyAlignment="1" applyBorder="1" applyFont="1" applyNumberFormat="1">
      <alignment shrinkToFit="0" wrapText="0"/>
    </xf>
    <xf borderId="71" fillId="2" fontId="21" numFmtId="0" xfId="0" applyAlignment="1" applyBorder="1" applyFont="1">
      <alignment shrinkToFit="0" wrapText="0"/>
    </xf>
    <xf borderId="72" fillId="0" fontId="5" numFmtId="0" xfId="0" applyBorder="1" applyFont="1"/>
    <xf borderId="73" fillId="0" fontId="5" numFmtId="0" xfId="0" applyBorder="1" applyFont="1"/>
    <xf borderId="51" fillId="2" fontId="6" numFmtId="0" xfId="0" applyAlignment="1" applyBorder="1" applyFont="1">
      <alignment shrinkToFit="0" wrapText="0"/>
    </xf>
    <xf borderId="70" fillId="2" fontId="6" numFmtId="10" xfId="0" applyAlignment="1" applyBorder="1" applyFont="1" applyNumberFormat="1">
      <alignment shrinkToFit="0" wrapText="0"/>
    </xf>
    <xf borderId="74" fillId="0" fontId="0" numFmtId="165" xfId="0" applyAlignment="1" applyBorder="1" applyFont="1" applyNumberFormat="1">
      <alignment shrinkToFit="0" wrapText="0"/>
    </xf>
    <xf borderId="75" fillId="3" fontId="11" numFmtId="0" xfId="0" applyAlignment="1" applyBorder="1" applyFont="1">
      <alignment horizontal="center" shrinkToFit="0" wrapText="0"/>
    </xf>
    <xf borderId="5" fillId="0" fontId="0" numFmtId="165" xfId="0" applyAlignment="1" applyBorder="1" applyFont="1" applyNumberFormat="1">
      <alignment shrinkToFit="0" wrapText="0"/>
    </xf>
    <xf borderId="76" fillId="0" fontId="5" numFmtId="0" xfId="0" applyBorder="1" applyFont="1"/>
    <xf borderId="11" fillId="3" fontId="11" numFmtId="167" xfId="0" applyAlignment="1" applyBorder="1" applyFont="1" applyNumberFormat="1">
      <alignment horizontal="center" shrinkToFit="0" wrapText="0"/>
    </xf>
    <xf borderId="11" fillId="3" fontId="11" numFmtId="10" xfId="0" applyAlignment="1" applyBorder="1" applyFont="1" applyNumberFormat="1">
      <alignment horizontal="center" shrinkToFit="0" wrapText="0"/>
    </xf>
    <xf borderId="9" fillId="2" fontId="21" numFmtId="0" xfId="0" applyAlignment="1" applyBorder="1" applyFont="1">
      <alignment shrinkToFit="0" wrapText="0"/>
    </xf>
    <xf borderId="1" fillId="0" fontId="7" numFmtId="0" xfId="0" applyAlignment="1" applyBorder="1" applyFont="1">
      <alignment shrinkToFit="0" wrapText="0"/>
    </xf>
    <xf borderId="60" fillId="0" fontId="5" numFmtId="0" xfId="0" applyBorder="1" applyFont="1"/>
    <xf borderId="51" fillId="2" fontId="21" numFmtId="0" xfId="0" applyAlignment="1" applyBorder="1" applyFont="1">
      <alignment horizontal="right" shrinkToFit="0" wrapText="0"/>
    </xf>
    <xf borderId="54" fillId="0" fontId="5" numFmtId="0" xfId="0" applyBorder="1" applyFont="1"/>
    <xf borderId="27" fillId="0" fontId="5" numFmtId="0" xfId="0" applyBorder="1" applyFont="1"/>
    <xf borderId="77" fillId="2" fontId="28" numFmtId="167" xfId="0" applyAlignment="1" applyBorder="1" applyFont="1" applyNumberFormat="1">
      <alignment horizontal="center" shrinkToFit="0" wrapText="0"/>
    </xf>
    <xf borderId="1" fillId="2" fontId="28" numFmtId="167" xfId="0" applyAlignment="1" applyBorder="1" applyFont="1" applyNumberFormat="1">
      <alignment horizontal="center" shrinkToFit="0" wrapText="0"/>
    </xf>
    <xf borderId="9" fillId="13" fontId="28" numFmtId="0" xfId="0" applyAlignment="1" applyBorder="1" applyFont="1">
      <alignment shrinkToFit="0" wrapText="0"/>
    </xf>
    <xf borderId="69" fillId="13" fontId="28" numFmtId="0" xfId="0" applyAlignment="1" applyBorder="1" applyFont="1">
      <alignment shrinkToFit="0" wrapText="0"/>
    </xf>
    <xf borderId="70" fillId="13" fontId="28" numFmtId="0" xfId="0" applyAlignment="1" applyBorder="1" applyFont="1">
      <alignment shrinkToFit="0" wrapText="0"/>
    </xf>
    <xf borderId="51" fillId="2" fontId="21" numFmtId="0" xfId="0" applyAlignment="1" applyBorder="1" applyFont="1">
      <alignment shrinkToFit="0" wrapText="1"/>
    </xf>
    <xf borderId="77" fillId="2" fontId="7" numFmtId="165" xfId="0" applyAlignment="1" applyBorder="1" applyFont="1" applyNumberFormat="1">
      <alignment shrinkToFit="0" wrapText="0"/>
    </xf>
    <xf borderId="1" fillId="2" fontId="7" numFmtId="165" xfId="0" applyAlignment="1" applyBorder="1" applyFont="1" applyNumberFormat="1">
      <alignment shrinkToFit="0" wrapText="0"/>
    </xf>
    <xf borderId="14" fillId="7" fontId="12" numFmtId="0" xfId="0" applyAlignment="1" applyBorder="1" applyFont="1">
      <alignment horizontal="center" shrinkToFit="0" wrapText="0"/>
    </xf>
    <xf borderId="66" fillId="2" fontId="21" numFmtId="0" xfId="0" applyAlignment="1" applyBorder="1" applyFont="1">
      <alignment horizontal="right" shrinkToFit="0" wrapText="0"/>
    </xf>
    <xf borderId="55" fillId="2" fontId="32" numFmtId="165" xfId="0" applyAlignment="1" applyBorder="1" applyFont="1" applyNumberFormat="1">
      <alignment horizontal="right" shrinkToFit="0" wrapText="0"/>
    </xf>
    <xf borderId="69" fillId="2" fontId="32" numFmtId="165" xfId="0" applyAlignment="1" applyBorder="1" applyFont="1" applyNumberFormat="1">
      <alignment horizontal="right" shrinkToFit="0" wrapText="0"/>
    </xf>
    <xf borderId="67" fillId="3" fontId="33" numFmtId="0" xfId="0" applyAlignment="1" applyBorder="1" applyFont="1">
      <alignment horizontal="right" shrinkToFit="0" wrapText="0"/>
    </xf>
    <xf borderId="67" fillId="2" fontId="11" numFmtId="167" xfId="0" applyAlignment="1" applyBorder="1" applyFont="1" applyNumberFormat="1">
      <alignment horizontal="center" shrinkToFit="0" wrapText="0"/>
    </xf>
    <xf borderId="78" fillId="2" fontId="11" numFmtId="167" xfId="0" applyAlignment="1" applyBorder="1" applyFont="1" applyNumberFormat="1">
      <alignment horizontal="center" shrinkToFit="0" wrapText="0"/>
    </xf>
    <xf borderId="68" fillId="2" fontId="11" numFmtId="167" xfId="0" applyAlignment="1" applyBorder="1" applyFont="1" applyNumberFormat="1">
      <alignment horizontal="center" shrinkToFit="0" wrapText="0"/>
    </xf>
    <xf borderId="17" fillId="0" fontId="28" numFmtId="0" xfId="0" applyAlignment="1" applyBorder="1" applyFont="1">
      <alignment shrinkToFit="0" wrapText="0"/>
    </xf>
    <xf borderId="79" fillId="0" fontId="0" numFmtId="165" xfId="0" applyAlignment="1" applyBorder="1" applyFont="1" applyNumberFormat="1">
      <alignment shrinkToFit="0" wrapText="0"/>
    </xf>
    <xf borderId="5" fillId="0" fontId="0" numFmtId="169" xfId="0" applyAlignment="1" applyBorder="1" applyFont="1" applyNumberFormat="1">
      <alignment shrinkToFit="0" wrapText="0"/>
    </xf>
    <xf borderId="1" fillId="0" fontId="0" numFmtId="169" xfId="0" applyAlignment="1" applyBorder="1" applyFont="1" applyNumberFormat="1">
      <alignment shrinkToFit="0" wrapText="0"/>
    </xf>
    <xf borderId="1" fillId="2" fontId="28" numFmtId="0" xfId="0" applyAlignment="1" applyBorder="1" applyFont="1">
      <alignment shrinkToFit="0" wrapText="0"/>
    </xf>
    <xf borderId="79" fillId="2" fontId="28" numFmtId="0" xfId="0" applyAlignment="1" applyBorder="1" applyFont="1">
      <alignment shrinkToFit="0" wrapText="0"/>
    </xf>
    <xf borderId="77" fillId="2" fontId="28" numFmtId="0" xfId="0" applyAlignment="1" applyBorder="1" applyFont="1">
      <alignment shrinkToFit="0" wrapText="0"/>
    </xf>
    <xf borderId="1" fillId="2" fontId="17" numFmtId="10" xfId="0" applyAlignment="1" applyBorder="1" applyFont="1" applyNumberFormat="1">
      <alignment horizontal="right" shrinkToFit="0" vertical="center" wrapText="0"/>
    </xf>
    <xf borderId="31" fillId="9" fontId="10" numFmtId="9" xfId="0" applyAlignment="1" applyBorder="1" applyFont="1" applyNumberFormat="1">
      <alignment shrinkToFit="0" vertical="center" wrapText="0"/>
    </xf>
    <xf borderId="1" fillId="2" fontId="28" numFmtId="165" xfId="0" applyAlignment="1" applyBorder="1" applyFont="1" applyNumberFormat="1">
      <alignment horizontal="right" shrinkToFit="0" wrapText="0"/>
    </xf>
    <xf borderId="53" fillId="0" fontId="0" numFmtId="173" xfId="0" applyAlignment="1" applyBorder="1" applyFont="1" applyNumberFormat="1">
      <alignment shrinkToFit="0" vertical="center" wrapText="0"/>
    </xf>
    <xf borderId="79" fillId="2" fontId="28" numFmtId="165" xfId="0" applyAlignment="1" applyBorder="1" applyFont="1" applyNumberFormat="1">
      <alignment horizontal="right" shrinkToFit="0" wrapText="0"/>
    </xf>
    <xf borderId="77" fillId="2" fontId="28" numFmtId="169" xfId="0" applyAlignment="1" applyBorder="1" applyFont="1" applyNumberFormat="1">
      <alignment horizontal="right" shrinkToFit="0" wrapText="0"/>
    </xf>
    <xf borderId="1" fillId="2" fontId="28" numFmtId="169" xfId="0" applyAlignment="1" applyBorder="1" applyFont="1" applyNumberFormat="1">
      <alignment horizontal="right" shrinkToFit="0" wrapText="0"/>
    </xf>
    <xf borderId="1" fillId="0" fontId="28" numFmtId="0" xfId="0" applyAlignment="1" applyBorder="1" applyFont="1">
      <alignment shrinkToFit="0" wrapText="0"/>
    </xf>
    <xf borderId="52" fillId="0" fontId="0" numFmtId="173" xfId="0" applyAlignment="1" applyBorder="1" applyFont="1" applyNumberFormat="1">
      <alignment shrinkToFit="0" vertical="center" wrapText="0"/>
    </xf>
    <xf borderId="79" fillId="0" fontId="28" numFmtId="0" xfId="0" applyAlignment="1" applyBorder="1" applyFont="1">
      <alignment shrinkToFit="0" wrapText="0"/>
    </xf>
    <xf borderId="1" fillId="0" fontId="0" numFmtId="1" xfId="0" applyAlignment="1" applyBorder="1" applyFont="1" applyNumberFormat="1">
      <alignment horizontal="center" shrinkToFit="0" vertical="center" wrapText="0"/>
    </xf>
    <xf borderId="1" fillId="8" fontId="0" numFmtId="0" xfId="0" applyAlignment="1" applyBorder="1" applyFont="1">
      <alignment shrinkToFit="0" vertical="center" wrapText="0"/>
    </xf>
    <xf borderId="1" fillId="2" fontId="11" numFmtId="165" xfId="0" applyAlignment="1" applyBorder="1" applyFont="1" applyNumberFormat="1">
      <alignment horizontal="right" shrinkToFit="0" wrapText="0"/>
    </xf>
    <xf borderId="79" fillId="2" fontId="11" numFmtId="165" xfId="0" applyAlignment="1" applyBorder="1" applyFont="1" applyNumberFormat="1">
      <alignment horizontal="right" shrinkToFit="0" wrapText="0"/>
    </xf>
    <xf borderId="67" fillId="2" fontId="11" numFmtId="169" xfId="0" applyAlignment="1" applyBorder="1" applyFont="1" applyNumberFormat="1">
      <alignment horizontal="right" shrinkToFit="0" wrapText="0"/>
    </xf>
    <xf borderId="68" fillId="2" fontId="11" numFmtId="169" xfId="0" applyAlignment="1" applyBorder="1" applyFont="1" applyNumberFormat="1">
      <alignment horizontal="right" shrinkToFit="0" wrapText="0"/>
    </xf>
    <xf borderId="67" fillId="13" fontId="34" numFmtId="0" xfId="0" applyAlignment="1" applyBorder="1" applyFont="1">
      <alignment shrinkToFit="0" wrapText="0"/>
    </xf>
    <xf borderId="67" fillId="13" fontId="21" numFmtId="167" xfId="0" applyAlignment="1" applyBorder="1" applyFont="1" applyNumberFormat="1">
      <alignment horizontal="center" shrinkToFit="0" wrapText="0"/>
    </xf>
    <xf borderId="78" fillId="13" fontId="21" numFmtId="167" xfId="0" applyAlignment="1" applyBorder="1" applyFont="1" applyNumberFormat="1">
      <alignment horizontal="center" shrinkToFit="0" wrapText="0"/>
    </xf>
    <xf borderId="68" fillId="13" fontId="21" numFmtId="167" xfId="0" applyAlignment="1" applyBorder="1" applyFont="1" applyNumberFormat="1">
      <alignment horizontal="center" shrinkToFit="0" wrapText="0"/>
    </xf>
    <xf borderId="80" fillId="3" fontId="29" numFmtId="0" xfId="0" applyAlignment="1" applyBorder="1" applyFont="1">
      <alignment shrinkToFit="0" wrapText="0"/>
    </xf>
    <xf borderId="80" fillId="3" fontId="11" numFmtId="167" xfId="0" applyAlignment="1" applyBorder="1" applyFont="1" applyNumberFormat="1">
      <alignment horizontal="center" shrinkToFit="0" wrapText="0"/>
    </xf>
    <xf borderId="81" fillId="3" fontId="11" numFmtId="167" xfId="0" applyAlignment="1" applyBorder="1" applyFont="1" applyNumberFormat="1">
      <alignment horizontal="center" shrinkToFit="0" wrapText="0"/>
    </xf>
    <xf borderId="64" fillId="3" fontId="11" numFmtId="167" xfId="0" applyAlignment="1" applyBorder="1" applyFont="1" applyNumberFormat="1">
      <alignment horizontal="center" shrinkToFit="0" wrapText="0"/>
    </xf>
    <xf borderId="7" fillId="2" fontId="35" numFmtId="0" xfId="0" applyAlignment="1" applyBorder="1" applyFont="1">
      <alignment shrinkToFit="0" wrapText="0"/>
    </xf>
    <xf borderId="61" fillId="2" fontId="35" numFmtId="0" xfId="0" applyAlignment="1" applyBorder="1" applyFont="1">
      <alignment shrinkToFit="0" wrapText="0"/>
    </xf>
    <xf borderId="43" fillId="2" fontId="28" numFmtId="0" xfId="0" applyAlignment="1" applyBorder="1" applyFont="1">
      <alignment horizontal="left" shrinkToFit="0" wrapText="1"/>
    </xf>
    <xf borderId="7" fillId="2" fontId="11" numFmtId="0" xfId="0" applyAlignment="1" applyBorder="1" applyFont="1">
      <alignment shrinkToFit="0" wrapText="0"/>
    </xf>
    <xf borderId="61" fillId="2" fontId="11" numFmtId="0" xfId="0" applyAlignment="1" applyBorder="1" applyFont="1">
      <alignment shrinkToFit="0" wrapText="0"/>
    </xf>
    <xf borderId="2" fillId="2" fontId="36" numFmtId="0" xfId="0" applyAlignment="1" applyBorder="1" applyFont="1">
      <alignment horizontal="left" shrinkToFit="0" wrapText="1"/>
    </xf>
    <xf borderId="43" fillId="2" fontId="37" numFmtId="0" xfId="0" applyAlignment="1" applyBorder="1" applyFont="1">
      <alignment horizontal="left" shrinkToFit="0" wrapText="1"/>
    </xf>
    <xf borderId="43" fillId="2" fontId="33" numFmtId="0" xfId="0" applyAlignment="1" applyBorder="1" applyFont="1">
      <alignment horizontal="left" shrinkToFit="0" wrapText="1"/>
    </xf>
    <xf borderId="7" fillId="2" fontId="28" numFmtId="17" xfId="0" applyAlignment="1" applyBorder="1" applyFont="1" applyNumberFormat="1">
      <alignment shrinkToFit="0" wrapText="0"/>
    </xf>
    <xf borderId="82" fillId="0" fontId="0" numFmtId="0" xfId="0" applyAlignment="1" applyBorder="1" applyFont="1">
      <alignment shrinkToFit="0" wrapText="0"/>
    </xf>
    <xf borderId="30" fillId="2" fontId="17" numFmtId="165" xfId="0" applyAlignment="1" applyBorder="1" applyFont="1" applyNumberFormat="1">
      <alignment horizontal="right" shrinkToFit="0" vertical="center" wrapText="0"/>
    </xf>
    <xf borderId="28" fillId="0" fontId="0" numFmtId="165" xfId="0" applyAlignment="1" applyBorder="1" applyFont="1" applyNumberFormat="1">
      <alignment shrinkToFit="0" vertical="center" wrapText="0"/>
    </xf>
    <xf borderId="83" fillId="0" fontId="0" numFmtId="165" xfId="0" applyAlignment="1" applyBorder="1" applyFont="1" applyNumberFormat="1">
      <alignment shrinkToFit="0" vertical="center" wrapText="0"/>
    </xf>
    <xf borderId="31" fillId="6" fontId="10" numFmtId="17" xfId="0" applyAlignment="1" applyBorder="1" applyFont="1" applyNumberFormat="1">
      <alignment shrinkToFit="0" wrapText="0"/>
    </xf>
    <xf borderId="59" fillId="6" fontId="10" numFmtId="17" xfId="0" applyAlignment="1" applyBorder="1" applyFont="1" applyNumberFormat="1">
      <alignment shrinkToFit="0" wrapText="0"/>
    </xf>
    <xf borderId="1" fillId="6" fontId="0" numFmtId="164" xfId="0" applyAlignment="1" applyBorder="1" applyFont="1" applyNumberFormat="1">
      <alignment shrinkToFit="0" wrapText="0"/>
    </xf>
    <xf borderId="1" fillId="9" fontId="10" numFmtId="165" xfId="0" applyAlignment="1" applyBorder="1" applyFont="1" applyNumberFormat="1">
      <alignment shrinkToFit="0" wrapText="0"/>
    </xf>
    <xf borderId="27" fillId="0" fontId="0" numFmtId="165" xfId="0" applyAlignment="1" applyBorder="1" applyFont="1" applyNumberFormat="1">
      <alignment horizontal="right" shrinkToFit="0" wrapText="0"/>
    </xf>
    <xf borderId="27" fillId="0" fontId="0" numFmtId="165" xfId="0" applyAlignment="1" applyBorder="1" applyFont="1" applyNumberFormat="1">
      <alignment shrinkToFit="0" wrapText="0"/>
    </xf>
    <xf borderId="53" fillId="0" fontId="0" numFmtId="169" xfId="0" applyAlignment="1" applyBorder="1" applyFont="1" applyNumberFormat="1">
      <alignment shrinkToFit="0" wrapText="0"/>
    </xf>
    <xf borderId="60" fillId="0" fontId="0" numFmtId="165" xfId="0" applyAlignment="1" applyBorder="1" applyFont="1" applyNumberFormat="1">
      <alignment shrinkToFit="0" wrapText="0"/>
    </xf>
    <xf borderId="1" fillId="9" fontId="10" numFmtId="9" xfId="0" applyAlignment="1" applyBorder="1" applyFont="1" applyNumberFormat="1">
      <alignment shrinkToFit="0" wrapText="0"/>
    </xf>
    <xf borderId="84" fillId="9" fontId="10" numFmtId="9" xfId="0" applyAlignment="1" applyBorder="1" applyFont="1" applyNumberFormat="1">
      <alignment shrinkToFit="0" wrapText="0"/>
    </xf>
    <xf borderId="31" fillId="9" fontId="10" numFmtId="9" xfId="0" applyAlignment="1" applyBorder="1" applyFont="1" applyNumberFormat="1">
      <alignment shrinkToFit="0" wrapText="0"/>
    </xf>
    <xf borderId="1" fillId="9" fontId="10" numFmtId="173" xfId="0" applyAlignment="1" applyBorder="1" applyFont="1" applyNumberFormat="1">
      <alignment shrinkToFit="0" wrapText="0"/>
    </xf>
    <xf borderId="27" fillId="0" fontId="0" numFmtId="173" xfId="0" applyAlignment="1" applyBorder="1" applyFont="1" applyNumberFormat="1">
      <alignment shrinkToFit="0" wrapText="0"/>
    </xf>
    <xf borderId="53" fillId="0" fontId="0" numFmtId="173" xfId="0" applyAlignment="1" applyBorder="1" applyFont="1" applyNumberFormat="1">
      <alignment shrinkToFit="0" wrapText="0"/>
    </xf>
    <xf borderId="10" fillId="0" fontId="0" numFmtId="173" xfId="0" applyAlignment="1" applyBorder="1" applyFont="1" applyNumberFormat="1">
      <alignment shrinkToFit="0" wrapText="0"/>
    </xf>
    <xf borderId="52" fillId="0" fontId="0" numFmtId="173" xfId="0" applyAlignment="1" applyBorder="1" applyFont="1" applyNumberFormat="1">
      <alignment shrinkToFit="0" wrapText="0"/>
    </xf>
    <xf borderId="5" fillId="0" fontId="0" numFmtId="1" xfId="0" applyAlignment="1" applyBorder="1" applyFont="1" applyNumberFormat="1">
      <alignment horizontal="center" shrinkToFit="0" wrapText="0"/>
    </xf>
    <xf borderId="1" fillId="0" fontId="0" numFmtId="1" xfId="0" applyAlignment="1" applyBorder="1" applyFont="1" applyNumberFormat="1">
      <alignment horizontal="center" shrinkToFit="0" wrapText="0"/>
    </xf>
    <xf borderId="7" fillId="8" fontId="0" numFmtId="164" xfId="0" applyAlignment="1" applyBorder="1" applyFont="1" applyNumberFormat="1">
      <alignment shrinkToFit="0" wrapText="0"/>
    </xf>
    <xf borderId="7" fillId="8" fontId="0" numFmtId="0" xfId="0" applyAlignment="1" applyBorder="1" applyFont="1">
      <alignment shrinkToFit="0" wrapText="0"/>
    </xf>
    <xf borderId="1" fillId="8" fontId="0" numFmtId="1" xfId="0" applyAlignment="1" applyBorder="1" applyFont="1" applyNumberFormat="1">
      <alignment horizontal="center" shrinkToFit="0" wrapText="0"/>
    </xf>
    <xf borderId="1" fillId="8" fontId="0" numFmtId="0" xfId="0" applyAlignment="1" applyBorder="1" applyFont="1">
      <alignment shrinkToFit="0" wrapText="0"/>
    </xf>
    <xf borderId="0" fillId="0" fontId="0" numFmtId="174" xfId="0" applyAlignment="1" applyFont="1" applyNumberForma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4" Type="http://schemas.openxmlformats.org/officeDocument/2006/relationships/worksheet" Target="worksheets/sheet1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lineChart>
        <c:ser>
          <c:idx val="0"/>
          <c:order val="0"/>
          <c:spPr>
            <a:ln cmpd="sng" w="19050">
              <a:solidFill>
                <a:srgbClr val="4F81BD"/>
              </a:solidFill>
              <a:prstDash val="solid"/>
            </a:ln>
          </c:spPr>
          <c:marker>
            <c:symbol val="none"/>
          </c:marker>
          <c:cat>
            <c:strRef>
              <c:f>'Plan de trésorerie2017 SCN1'!$E$4:$AB$4</c:f>
            </c:strRef>
          </c:cat>
          <c:val>
            <c:numRef>
              <c:f>'Plan de trésorerie2017 SCN1'!$E$5:$AB$5</c:f>
            </c:numRef>
          </c:val>
          <c:smooth val="0"/>
        </c:ser>
        <c:ser>
          <c:idx val="1"/>
          <c:order val="1"/>
          <c:spPr>
            <a:ln cmpd="sng" w="19050">
              <a:solidFill>
                <a:srgbClr val="DC3912"/>
              </a:solidFill>
              <a:prstDash val="solid"/>
            </a:ln>
          </c:spPr>
          <c:marker>
            <c:symbol val="none"/>
          </c:marker>
          <c:cat>
            <c:strRef>
              <c:f>'Plan de trésorerie2017 SCN1'!$E$4:$AB$4</c:f>
            </c:strRef>
          </c:cat>
          <c:val>
            <c:numRef>
              <c:f>'Plan de trésorerie2017 SCN1'!$E$62:$AB$62</c:f>
            </c:numRef>
          </c:val>
          <c:smooth val="0"/>
        </c:ser>
        <c:axId val="562559609"/>
        <c:axId val="694349420"/>
      </c:lineChart>
      <c:catAx>
        <c:axId val="562559609"/>
        <c:scaling>
          <c:orientation val="minMax"/>
        </c:scaling>
        <c:delete val="0"/>
        <c:axPos val="b"/>
        <c:txPr>
          <a:bodyPr/>
          <a:lstStyle/>
          <a:p>
            <a:pPr lvl="0">
              <a:defRPr b="0" i="0"/>
            </a:pPr>
          </a:p>
        </c:txPr>
        <c:crossAx val="694349420"/>
      </c:catAx>
      <c:valAx>
        <c:axId val="69434942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/>
            </a:pPr>
          </a:p>
        </c:txPr>
        <c:crossAx val="562559609"/>
      </c:valAx>
      <c:spPr>
        <a:solidFill>
          <a:srgbClr val="FFFFFF"/>
        </a:solidFill>
      </c:spPr>
    </c:plotArea>
    <c:legend>
      <c:legendPos val="r"/>
      <c:overlay val="0"/>
    </c:legend>
    <c:plotVisOnly val="1"/>
  </c:chart>
</c:chartSpace>
</file>

<file path=xl/charts/chart1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lineChart>
        <c:ser>
          <c:idx val="0"/>
          <c:order val="0"/>
          <c:spPr>
            <a:ln cmpd="sng" w="19050">
              <a:solidFill>
                <a:srgbClr val="4F81BD"/>
              </a:solidFill>
              <a:prstDash val="solid"/>
            </a:ln>
          </c:spPr>
          <c:marker>
            <c:symbol val="none"/>
          </c:marker>
          <c:cat>
            <c:strRef>
              <c:f>'Plan de trésorerie SCN2'!$E$4:$AB$4</c:f>
            </c:strRef>
          </c:cat>
          <c:val>
            <c:numRef>
              <c:f>'Plan de trésorerie SCN2'!$E$5:$AB$5</c:f>
            </c:numRef>
          </c:val>
          <c:smooth val="0"/>
        </c:ser>
        <c:ser>
          <c:idx val="1"/>
          <c:order val="1"/>
          <c:spPr>
            <a:ln cmpd="sng" w="19050">
              <a:solidFill>
                <a:srgbClr val="C0504D"/>
              </a:solidFill>
              <a:prstDash val="solid"/>
            </a:ln>
          </c:spPr>
          <c:marker>
            <c:symbol val="none"/>
          </c:marker>
          <c:cat>
            <c:strRef>
              <c:f>'Plan de trésorerie SCN2'!$E$4:$AB$4</c:f>
            </c:strRef>
          </c:cat>
          <c:val>
            <c:numRef>
              <c:f>'Plan de trésorerie SCN2'!$E$62:$AB$62</c:f>
            </c:numRef>
          </c:val>
          <c:smooth val="0"/>
        </c:ser>
        <c:axId val="476879036"/>
        <c:axId val="1786521705"/>
      </c:lineChart>
      <c:catAx>
        <c:axId val="476879036"/>
        <c:scaling>
          <c:orientation val="minMax"/>
        </c:scaling>
        <c:delete val="0"/>
        <c:axPos val="b"/>
        <c:txPr>
          <a:bodyPr/>
          <a:lstStyle/>
          <a:p>
            <a:pPr lvl="0">
              <a:defRPr b="0" i="0"/>
            </a:pPr>
          </a:p>
        </c:txPr>
        <c:crossAx val="1786521705"/>
      </c:catAx>
      <c:valAx>
        <c:axId val="178652170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/>
            </a:pPr>
          </a:p>
        </c:txPr>
        <c:crossAx val="476879036"/>
      </c:valAx>
      <c:spPr>
        <a:solidFill>
          <a:srgbClr val="FFFFFF"/>
        </a:solidFill>
      </c:spPr>
    </c:plotArea>
    <c:legend>
      <c:legendPos val="r"/>
      <c:overlay val="0"/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lineChart>
        <c:varyColors val="0"/>
        <c:ser>
          <c:idx val="0"/>
          <c:order val="0"/>
          <c:spPr>
            <a:ln cmpd="sng" w="19050">
              <a:solidFill>
                <a:srgbClr val="4F81BD"/>
              </a:solidFill>
              <a:prstDash val="solid"/>
            </a:ln>
          </c:spPr>
          <c:marker>
            <c:symbol val="none"/>
          </c:marker>
          <c:val>
            <c:numRef>
              <c:f>'Plan de trésorerie SCN2'!$E$62:$AB$62</c:f>
            </c:numRef>
          </c:val>
          <c:smooth val="0"/>
        </c:ser>
        <c:axId val="2061411378"/>
        <c:axId val="386626036"/>
      </c:lineChart>
      <c:catAx>
        <c:axId val="2061411378"/>
        <c:scaling>
          <c:orientation val="minMax"/>
        </c:scaling>
        <c:delete val="0"/>
        <c:axPos val="b"/>
        <c:txPr>
          <a:bodyPr/>
          <a:lstStyle/>
          <a:p>
            <a:pPr lvl="0">
              <a:defRPr b="0" i="0"/>
            </a:pPr>
          </a:p>
        </c:txPr>
        <c:crossAx val="386626036"/>
      </c:catAx>
      <c:valAx>
        <c:axId val="38662603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/>
            </a:pPr>
          </a:p>
        </c:txPr>
        <c:crossAx val="2061411378"/>
      </c:valAx>
      <c:spPr>
        <a:solidFill>
          <a:srgbClr val="FFFFFF"/>
        </a:solidFill>
      </c:spPr>
    </c:plotArea>
    <c:legend>
      <c:legendPos val="r"/>
      <c:overlay val="0"/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lineChart>
        <c:varyColors val="0"/>
        <c:ser>
          <c:idx val="0"/>
          <c:order val="0"/>
          <c:spPr>
            <a:ln cmpd="sng" w="19050">
              <a:solidFill>
                <a:srgbClr val="4F81BD"/>
              </a:solidFill>
              <a:prstDash val="solid"/>
            </a:ln>
          </c:spPr>
          <c:marker>
            <c:symbol val="none"/>
          </c:marker>
          <c:val>
            <c:numRef>
              <c:f>'Plan de trésorerie SCN3'!$E$62:$AB$62</c:f>
            </c:numRef>
          </c:val>
          <c:smooth val="0"/>
        </c:ser>
        <c:axId val="1480311560"/>
        <c:axId val="1329083151"/>
      </c:lineChart>
      <c:catAx>
        <c:axId val="1480311560"/>
        <c:scaling>
          <c:orientation val="minMax"/>
        </c:scaling>
        <c:delete val="0"/>
        <c:axPos val="b"/>
        <c:txPr>
          <a:bodyPr/>
          <a:lstStyle/>
          <a:p>
            <a:pPr lvl="0">
              <a:defRPr b="0" i="0"/>
            </a:pPr>
          </a:p>
        </c:txPr>
        <c:crossAx val="1329083151"/>
      </c:catAx>
      <c:valAx>
        <c:axId val="132908315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/>
            </a:pPr>
          </a:p>
        </c:txPr>
        <c:crossAx val="1480311560"/>
      </c:valAx>
      <c:spPr>
        <a:solidFill>
          <a:srgbClr val="FFFFFF"/>
        </a:solidFill>
      </c:spPr>
    </c:plotArea>
    <c:legend>
      <c:legendPos val="r"/>
      <c:overlay val="0"/>
    </c:legend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lineChart>
        <c:varyColors val="0"/>
        <c:ser>
          <c:idx val="0"/>
          <c:order val="0"/>
          <c:spPr>
            <a:ln cmpd="sng" w="19050">
              <a:solidFill>
                <a:srgbClr val="4F81BD"/>
              </a:solidFill>
              <a:prstDash val="solid"/>
            </a:ln>
          </c:spPr>
          <c:marker>
            <c:symbol val="none"/>
          </c:marker>
          <c:val>
            <c:numRef>
              <c:f>'Plan de trésorerie SCN4'!$E$63:$AB$63</c:f>
            </c:numRef>
          </c:val>
          <c:smooth val="0"/>
        </c:ser>
        <c:axId val="736710660"/>
        <c:axId val="62199521"/>
      </c:lineChart>
      <c:catAx>
        <c:axId val="736710660"/>
        <c:scaling>
          <c:orientation val="minMax"/>
        </c:scaling>
        <c:delete val="0"/>
        <c:axPos val="b"/>
        <c:txPr>
          <a:bodyPr/>
          <a:lstStyle/>
          <a:p>
            <a:pPr lvl="0">
              <a:defRPr b="0" i="0"/>
            </a:pPr>
          </a:p>
        </c:txPr>
        <c:crossAx val="62199521"/>
      </c:catAx>
      <c:valAx>
        <c:axId val="6219952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/>
            </a:pPr>
          </a:p>
        </c:txPr>
        <c:crossAx val="736710660"/>
      </c:valAx>
      <c:spPr>
        <a:solidFill>
          <a:srgbClr val="FFFFFF"/>
        </a:solidFill>
      </c:spPr>
    </c:plotArea>
    <c:legend>
      <c:legendPos val="r"/>
      <c:overlay val="0"/>
    </c:legend>
    <c:plotVisOnly val="1"/>
  </c:chart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lineChart>
        <c:ser>
          <c:idx val="0"/>
          <c:order val="0"/>
          <c:spPr>
            <a:ln cmpd="sng" w="5715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strRef>
              <c:f>'Plan de trésorerie2017 SCN1'!$E$4:$AB$4</c:f>
            </c:strRef>
          </c:cat>
          <c:val>
            <c:numRef>
              <c:f>'Plan de trésorerie2017 SCN1'!$E$5:$AB$5</c:f>
            </c:numRef>
          </c:val>
          <c:smooth val="0"/>
        </c:ser>
        <c:ser>
          <c:idx val="1"/>
          <c:order val="1"/>
          <c:spPr>
            <a:ln cmpd="sng" w="57150">
              <a:solidFill>
                <a:srgbClr val="F79646"/>
              </a:solidFill>
              <a:prstDash val="solid"/>
            </a:ln>
          </c:spPr>
          <c:marker>
            <c:symbol val="none"/>
          </c:marker>
          <c:cat>
            <c:strRef>
              <c:f>'Plan de trésorerie2017 SCN1'!$E$4:$AB$4</c:f>
            </c:strRef>
          </c:cat>
          <c:val>
            <c:numRef>
              <c:f>'Plan de trésorerie2017 SCN1'!$E$62:$AB$62</c:f>
            </c:numRef>
          </c:val>
          <c:smooth val="0"/>
        </c:ser>
        <c:ser>
          <c:idx val="2"/>
          <c:order val="2"/>
          <c:spPr>
            <a:ln cmpd="sng" w="57150"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strRef>
              <c:f>'Plan de trésorerie2017 SCN1'!$E$4:$AB$4</c:f>
            </c:strRef>
          </c:cat>
          <c:val>
            <c:numRef>
              <c:f>'Plan de trésorerie SCN2'!$E$62:$AB$62</c:f>
            </c:numRef>
          </c:val>
          <c:smooth val="0"/>
        </c:ser>
        <c:ser>
          <c:idx val="3"/>
          <c:order val="3"/>
          <c:spPr>
            <a:ln cmpd="sng" w="57150">
              <a:solidFill>
                <a:srgbClr val="272F16"/>
              </a:solidFill>
              <a:prstDash val="solid"/>
            </a:ln>
          </c:spPr>
          <c:marker>
            <c:symbol val="none"/>
          </c:marker>
          <c:cat>
            <c:strRef>
              <c:f>'Plan de trésorerie2017 SCN1'!$E$4:$AB$4</c:f>
            </c:strRef>
          </c:cat>
          <c:val>
            <c:numRef>
              <c:f>'Plan de trésorerie SCN3'!$E$62:$AB$62</c:f>
            </c:numRef>
          </c:val>
          <c:smooth val="0"/>
        </c:ser>
        <c:ser>
          <c:idx val="4"/>
          <c:order val="4"/>
          <c:spPr>
            <a:ln cmpd="sng" w="19050">
              <a:solidFill>
                <a:srgbClr val="990099"/>
              </a:solidFill>
              <a:prstDash val="solid"/>
            </a:ln>
          </c:spPr>
          <c:marker>
            <c:symbol val="none"/>
          </c:marker>
          <c:cat>
            <c:strRef>
              <c:f>'Plan de trésorerie2017 SCN1'!$E$4:$AB$4</c:f>
            </c:strRef>
          </c:cat>
          <c:val>
            <c:numRef>
              <c:f>'Plan de trésorerie SCN4'!$E$63:$AB$63</c:f>
            </c:numRef>
          </c:val>
          <c:smooth val="0"/>
        </c:ser>
        <c:axId val="584050055"/>
        <c:axId val="1080410721"/>
      </c:lineChart>
      <c:catAx>
        <c:axId val="584050055"/>
        <c:scaling>
          <c:orientation val="minMax"/>
        </c:scaling>
        <c:delete val="0"/>
        <c:axPos val="b"/>
        <c:txPr>
          <a:bodyPr/>
          <a:lstStyle/>
          <a:p>
            <a:pPr lvl="0">
              <a:defRPr b="1" i="0" sz="2400"/>
            </a:pPr>
          </a:p>
        </c:txPr>
        <c:crossAx val="1080410721"/>
      </c:catAx>
      <c:valAx>
        <c:axId val="108041072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 i="0" sz="2400"/>
            </a:pPr>
          </a:p>
        </c:txPr>
        <c:crossAx val="584050055"/>
      </c:valAx>
      <c:spPr>
        <a:solidFill>
          <a:srgbClr val="FFFFFF"/>
        </a:solidFill>
      </c:spPr>
    </c:plotArea>
    <c:legend>
      <c:legendPos val="r"/>
      <c:overlay val="0"/>
      <c:txPr>
        <a:bodyPr/>
        <a:lstStyle/>
        <a:p>
          <a:pPr lvl="0">
            <a:defRPr sz="2400"/>
          </a:pPr>
        </a:p>
      </c:txPr>
    </c:legend>
    <c:plotVisOnly val="1"/>
  </c:chart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lineChart>
        <c:varyColors val="0"/>
        <c:ser>
          <c:idx val="0"/>
          <c:order val="0"/>
          <c:spPr>
            <a:ln cmpd="sng" w="19050">
              <a:solidFill>
                <a:srgbClr val="4F81BD"/>
              </a:solidFill>
              <a:prstDash val="solid"/>
            </a:ln>
          </c:spPr>
          <c:marker>
            <c:symbol val="none"/>
          </c:marker>
          <c:cat>
            <c:strRef>
              <c:f>'Prévisionnel 2017 SCN1'!$F$2:$Q$2</c:f>
            </c:strRef>
          </c:cat>
          <c:val>
            <c:numRef>
              <c:f>'Prévisionnel 2017 SCN1'!$F$38:$Q$38</c:f>
            </c:numRef>
          </c:val>
          <c:smooth val="0"/>
        </c:ser>
        <c:axId val="1374741498"/>
        <c:axId val="1104831654"/>
      </c:lineChart>
      <c:catAx>
        <c:axId val="1374741498"/>
        <c:scaling>
          <c:orientation val="minMax"/>
        </c:scaling>
        <c:delete val="0"/>
        <c:axPos val="b"/>
        <c:txPr>
          <a:bodyPr/>
          <a:lstStyle/>
          <a:p>
            <a:pPr lvl="0">
              <a:defRPr b="0" i="0"/>
            </a:pPr>
          </a:p>
        </c:txPr>
        <c:crossAx val="1104831654"/>
      </c:catAx>
      <c:valAx>
        <c:axId val="1104831654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 i="0" sz="2400"/>
            </a:pPr>
          </a:p>
        </c:txPr>
        <c:crossAx val="1374741498"/>
      </c:valAx>
      <c:spPr>
        <a:solidFill>
          <a:srgbClr val="FFFFFF"/>
        </a:solidFill>
      </c:spPr>
    </c:plotArea>
    <c:plotVisOnly val="1"/>
  </c:chart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strRef>
              <c:f>'Solde Intermediaire de Gestion '!$H$3</c:f>
            </c:strRef>
          </c:tx>
          <c:spPr>
            <a:solidFill>
              <a:srgbClr val="9BBB59"/>
            </a:solidFill>
          </c:spPr>
          <c:cat>
            <c:strRef>
              <c:f>'Solde Intermediaire de Gestion '!$E$4:$E$40</c:f>
            </c:strRef>
          </c:cat>
          <c:val>
            <c:numRef>
              <c:f>'Solde Intermediaire de Gestion '!$H$4:$H$40</c:f>
            </c:numRef>
          </c:val>
        </c:ser>
        <c:ser>
          <c:idx val="1"/>
          <c:order val="1"/>
          <c:tx>
            <c:strRef>
              <c:f>'Solde Intermediaire de Gestion '!$K$3</c:f>
            </c:strRef>
          </c:tx>
          <c:spPr>
            <a:solidFill>
              <a:srgbClr val="F79646"/>
            </a:solidFill>
          </c:spPr>
          <c:cat>
            <c:strRef>
              <c:f>'Solde Intermediaire de Gestion '!$E$4:$E$40</c:f>
            </c:strRef>
          </c:cat>
          <c:val>
            <c:numRef>
              <c:f>'Solde Intermediaire de Gestion '!$K$4:$K$40</c:f>
            </c:numRef>
          </c:val>
        </c:ser>
        <c:axId val="1683474704"/>
        <c:axId val="790100673"/>
      </c:barChart>
      <c:catAx>
        <c:axId val="1683474704"/>
        <c:scaling>
          <c:orientation val="minMax"/>
        </c:scaling>
        <c:delete val="0"/>
        <c:axPos val="b"/>
        <c:txPr>
          <a:bodyPr/>
          <a:lstStyle/>
          <a:p>
            <a:pPr lvl="0">
              <a:defRPr b="0" i="0"/>
            </a:pPr>
          </a:p>
        </c:txPr>
        <c:crossAx val="790100673"/>
      </c:catAx>
      <c:valAx>
        <c:axId val="79010067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/>
            </a:pPr>
          </a:p>
        </c:txPr>
        <c:crossAx val="1683474704"/>
      </c:valAx>
      <c:spPr>
        <a:solidFill>
          <a:srgbClr val="FFFFFF"/>
        </a:solidFill>
      </c:spPr>
    </c:plotArea>
    <c:legend>
      <c:legendPos val="r"/>
      <c:overlay val="0"/>
    </c:legend>
    <c:plotVisOnly val="1"/>
  </c:chart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lineChart>
        <c:ser>
          <c:idx val="0"/>
          <c:order val="0"/>
          <c:spPr>
            <a:ln cmpd="sng" w="19050">
              <a:solidFill>
                <a:srgbClr val="4F81BD"/>
              </a:solidFill>
              <a:prstDash val="solid"/>
            </a:ln>
          </c:spPr>
          <c:marker>
            <c:symbol val="none"/>
          </c:marker>
          <c:cat>
            <c:strRef>
              <c:f>'Scénarios-Graphiques (2)'!$C$1:$Z$1</c:f>
            </c:strRef>
          </c:cat>
          <c:val>
            <c:numRef>
              <c:f>'Scénarios-Graphiques (2)'!$C$2:$Z$2</c:f>
            </c:numRef>
          </c:val>
          <c:smooth val="0"/>
        </c:ser>
        <c:ser>
          <c:idx val="1"/>
          <c:order val="1"/>
          <c:spPr>
            <a:ln cmpd="sng" w="19050">
              <a:solidFill>
                <a:srgbClr val="C0504D"/>
              </a:solidFill>
              <a:prstDash val="solid"/>
            </a:ln>
          </c:spPr>
          <c:marker>
            <c:symbol val="none"/>
          </c:marker>
          <c:cat>
            <c:strRef>
              <c:f>'Scénarios-Graphiques (2)'!$C$1:$Z$1</c:f>
            </c:strRef>
          </c:cat>
          <c:val>
            <c:numRef>
              <c:f>'Scénarios-Graphiques (2)'!$C$5:$Z$5</c:f>
            </c:numRef>
          </c:val>
          <c:smooth val="0"/>
        </c:ser>
        <c:axId val="986930798"/>
        <c:axId val="880867992"/>
      </c:lineChart>
      <c:catAx>
        <c:axId val="986930798"/>
        <c:scaling>
          <c:orientation val="minMax"/>
        </c:scaling>
        <c:delete val="0"/>
        <c:axPos val="b"/>
        <c:txPr>
          <a:bodyPr/>
          <a:lstStyle/>
          <a:p>
            <a:pPr lvl="0">
              <a:defRPr b="1" i="0"/>
            </a:pPr>
          </a:p>
        </c:txPr>
        <c:crossAx val="880867992"/>
      </c:catAx>
      <c:valAx>
        <c:axId val="88086799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 i="0"/>
            </a:pPr>
          </a:p>
        </c:txPr>
        <c:crossAx val="986930798"/>
      </c:valAx>
      <c:spPr>
        <a:solidFill>
          <a:srgbClr val="FFFFFF"/>
        </a:solidFill>
      </c:spPr>
    </c:plotArea>
    <c:legend>
      <c:legendPos val="r"/>
      <c:overlay val="0"/>
    </c:legend>
    <c:plotVisOnly val="1"/>
  </c:chart>
</c:chartSpace>
</file>

<file path=xl/charts/chart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lineChart>
        <c:varyColors val="0"/>
        <c:ser>
          <c:idx val="0"/>
          <c:order val="0"/>
          <c:spPr>
            <a:ln cmpd="sng" w="19050">
              <a:solidFill>
                <a:srgbClr val="4F81BD"/>
              </a:solidFill>
              <a:prstDash val="solid"/>
            </a:ln>
          </c:spPr>
          <c:marker>
            <c:symbol val="none"/>
          </c:marker>
          <c:cat>
            <c:strRef>
              <c:f>'Scénarios-Graphiques (2)'!$C$1:$Z$1</c:f>
            </c:strRef>
          </c:cat>
          <c:val>
            <c:numRef>
              <c:f>'Scénarios-Graphiques (2)'!$C$11:$Z$11</c:f>
            </c:numRef>
          </c:val>
          <c:smooth val="0"/>
        </c:ser>
        <c:axId val="101415996"/>
        <c:axId val="419382939"/>
      </c:lineChart>
      <c:catAx>
        <c:axId val="101415996"/>
        <c:scaling>
          <c:orientation val="minMax"/>
        </c:scaling>
        <c:delete val="0"/>
        <c:axPos val="b"/>
        <c:txPr>
          <a:bodyPr/>
          <a:lstStyle/>
          <a:p>
            <a:pPr lvl="0">
              <a:defRPr b="1" i="0"/>
            </a:pPr>
          </a:p>
        </c:txPr>
        <c:crossAx val="419382939"/>
      </c:catAx>
      <c:valAx>
        <c:axId val="41938293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 i="0"/>
            </a:pPr>
          </a:p>
        </c:txPr>
        <c:crossAx val="101415996"/>
      </c:valAx>
      <c:spPr>
        <a:solidFill>
          <a:srgbClr val="FFFFFF"/>
        </a:solidFill>
      </c:spPr>
    </c:plotArea>
    <c:legend>
      <c:legendPos val="r"/>
      <c:overlay val="0"/>
    </c:legend>
    <c:plotVisOnly val="1"/>
  </c:chart>
</c:chartSpace>
</file>

<file path=xl/drawings/_rels/drawing1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/Relationships>
</file>

<file path=xl/drawings/_rels/drawing12.xml.rels><?xml version="1.0" encoding="UTF-8" standalone="yes"?>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Relationship Id="rId3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685800</xdr:colOff>
      <xdr:row>1</xdr:row>
      <xdr:rowOff>171450</xdr:rowOff>
    </xdr:from>
    <xdr:ext cx="7277100" cy="3724275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8</xdr:col>
      <xdr:colOff>390525</xdr:colOff>
      <xdr:row>2</xdr:row>
      <xdr:rowOff>0</xdr:rowOff>
    </xdr:from>
    <xdr:ext cx="7581900" cy="3705225"/>
    <xdr:graphicFrame>
      <xdr:nvGraphicFramePr>
        <xdr:cNvPr id="3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0</xdr:col>
      <xdr:colOff>723900</xdr:colOff>
      <xdr:row>21</xdr:row>
      <xdr:rowOff>57150</xdr:rowOff>
    </xdr:from>
    <xdr:ext cx="7296150" cy="3543300"/>
    <xdr:graphicFrame>
      <xdr:nvGraphicFramePr>
        <xdr:cNvPr id="5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8</xdr:col>
      <xdr:colOff>342900</xdr:colOff>
      <xdr:row>21</xdr:row>
      <xdr:rowOff>85725</xdr:rowOff>
    </xdr:from>
    <xdr:ext cx="7610475" cy="3543300"/>
    <xdr:graphicFrame>
      <xdr:nvGraphicFramePr>
        <xdr:cNvPr id="7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  <xdr:oneCellAnchor>
    <xdr:from>
      <xdr:col>16</xdr:col>
      <xdr:colOff>647700</xdr:colOff>
      <xdr:row>2</xdr:row>
      <xdr:rowOff>0</xdr:rowOff>
    </xdr:from>
    <xdr:ext cx="14192250" cy="7429500"/>
    <xdr:graphicFrame>
      <xdr:nvGraphicFramePr>
        <xdr:cNvPr id="8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5"/>
        </a:graphicData>
      </a:graphic>
    </xdr:graphicFrame>
    <xdr:clientData fLocksWithSheet="0"/>
  </xdr:oneCellAnchor>
  <xdr:oneCellAnchor>
    <xdr:from>
      <xdr:col>20</xdr:col>
      <xdr:colOff>285750</xdr:colOff>
      <xdr:row>79</xdr:row>
      <xdr:rowOff>190500</xdr:rowOff>
    </xdr:from>
    <xdr:ext cx="10563225" cy="5095875"/>
    <xdr:graphicFrame>
      <xdr:nvGraphicFramePr>
        <xdr:cNvPr id="9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6"/>
        </a:graphicData>
      </a:graphic>
    </xdr:graphicFrame>
    <xdr:clientData fLocksWithSheet="0"/>
  </xdr:oneCellAnchor>
  <xdr:oneCellAnchor>
    <xdr:from>
      <xdr:col>0</xdr:col>
      <xdr:colOff>809625</xdr:colOff>
      <xdr:row>80</xdr:row>
      <xdr:rowOff>9525</xdr:rowOff>
    </xdr:from>
    <xdr:ext cx="18135600" cy="8572500"/>
    <xdr:graphicFrame>
      <xdr:nvGraphicFramePr>
        <xdr:cNvPr id="10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7"/>
        </a:graphicData>
      </a:graphic>
    </xdr:graphicFrame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47625</xdr:colOff>
      <xdr:row>23</xdr:row>
      <xdr:rowOff>38100</xdr:rowOff>
    </xdr:from>
    <xdr:ext cx="6019800" cy="3743325"/>
    <xdr:graphicFrame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6</xdr:col>
      <xdr:colOff>123825</xdr:colOff>
      <xdr:row>23</xdr:row>
      <xdr:rowOff>9525</xdr:rowOff>
    </xdr:from>
    <xdr:ext cx="5791200" cy="3752850"/>
    <xdr:graphicFrame>
      <xdr:nvGraphicFramePr>
        <xdr:cNvPr id="4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16</xdr:col>
      <xdr:colOff>0</xdr:colOff>
      <xdr:row>18</xdr:row>
      <xdr:rowOff>0</xdr:rowOff>
    </xdr:from>
    <xdr:ext cx="8839200" cy="4667250"/>
    <xdr:graphicFrame>
      <xdr:nvGraphicFramePr>
        <xdr:cNvPr id="6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2.v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drawing" Target="../drawings/drawing5.xml"/><Relationship Id="rId3" Type="http://schemas.openxmlformats.org/officeDocument/2006/relationships/vmlDrawing" Target="../drawings/vmlDrawing3.v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drawing" Target="../drawings/drawing7.xml"/><Relationship Id="rId3" Type="http://schemas.openxmlformats.org/officeDocument/2006/relationships/vmlDrawing" Target="../drawings/vmlDrawing4.v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comments" Target="../comments5.xml"/><Relationship Id="rId2" Type="http://schemas.openxmlformats.org/officeDocument/2006/relationships/drawing" Target="../drawings/drawing9.xml"/><Relationship Id="rId3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1.22" defaultRowHeight="15.0"/>
  <cols>
    <col customWidth="1" min="1" max="3" width="13.44"/>
    <col customWidth="1" min="4" max="4" width="14.11"/>
    <col customWidth="1" min="5" max="5" width="15.44"/>
    <col customWidth="1" hidden="1" min="6" max="6" width="12.33"/>
    <col customWidth="1" min="7" max="9" width="15.44"/>
    <col customWidth="1" min="10" max="11" width="13.44"/>
    <col customWidth="1" min="12" max="12" width="3.33"/>
    <col customWidth="1" min="13" max="13" width="17.89"/>
    <col customWidth="1" min="14" max="17" width="15.44"/>
    <col customWidth="1" hidden="1" min="18" max="18" width="13.44"/>
    <col customWidth="1" min="19" max="26" width="13.44"/>
  </cols>
  <sheetData>
    <row r="1">
      <c r="A1" s="3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10"/>
    </row>
    <row r="2">
      <c r="A2" s="13"/>
      <c r="R2" s="10"/>
    </row>
    <row r="3">
      <c r="A3" s="13"/>
      <c r="R3" s="10"/>
    </row>
    <row r="4">
      <c r="A4" s="10"/>
      <c r="B4" s="10"/>
      <c r="C4" s="10"/>
      <c r="D4" s="15"/>
      <c r="E4" s="15"/>
      <c r="F4" s="15"/>
      <c r="G4" s="10"/>
      <c r="H4" s="10"/>
      <c r="I4" s="10"/>
      <c r="J4" s="10"/>
      <c r="K4" s="10"/>
      <c r="L4" s="10"/>
      <c r="M4" s="15"/>
      <c r="N4" s="15"/>
      <c r="O4" s="15"/>
      <c r="P4" s="15"/>
      <c r="Q4" s="15"/>
      <c r="R4" s="15"/>
    </row>
    <row r="5">
      <c r="A5" s="17"/>
      <c r="B5" s="17"/>
      <c r="C5" s="19"/>
      <c r="D5" s="21">
        <v>2016.0</v>
      </c>
      <c r="E5" s="21" t="s">
        <v>7</v>
      </c>
      <c r="F5" s="21" t="s">
        <v>8</v>
      </c>
      <c r="G5" s="21" t="s">
        <v>9</v>
      </c>
      <c r="H5" s="21" t="s">
        <v>10</v>
      </c>
      <c r="I5" s="21" t="s">
        <v>11</v>
      </c>
      <c r="J5" s="1"/>
      <c r="M5" s="21">
        <v>2016.0</v>
      </c>
      <c r="N5" s="25" t="s">
        <v>7</v>
      </c>
      <c r="O5" s="25" t="s">
        <v>9</v>
      </c>
      <c r="P5" s="25" t="s">
        <v>10</v>
      </c>
      <c r="Q5" s="25" t="s">
        <v>11</v>
      </c>
      <c r="R5" s="21" t="s">
        <v>8</v>
      </c>
    </row>
    <row r="6">
      <c r="A6" s="27"/>
      <c r="B6" s="27"/>
      <c r="C6" s="29"/>
      <c r="D6" s="31"/>
      <c r="E6" s="31"/>
      <c r="F6" s="31"/>
      <c r="G6" s="31"/>
      <c r="H6" s="31"/>
      <c r="I6" s="31"/>
      <c r="M6" s="31"/>
      <c r="N6" s="33"/>
      <c r="O6" s="33"/>
      <c r="P6" s="33"/>
      <c r="Q6" s="33"/>
      <c r="R6" s="31"/>
    </row>
    <row r="7">
      <c r="A7" s="36" t="s">
        <v>15</v>
      </c>
      <c r="B7" s="9"/>
      <c r="C7" s="9"/>
      <c r="D7" s="38"/>
      <c r="E7" s="38"/>
      <c r="F7" s="40"/>
      <c r="G7" s="38"/>
      <c r="H7" s="38"/>
      <c r="I7" s="38"/>
      <c r="J7" s="36" t="s">
        <v>17</v>
      </c>
      <c r="K7" s="9"/>
      <c r="L7" s="47"/>
      <c r="M7" s="38"/>
      <c r="N7" s="38"/>
      <c r="O7" s="38"/>
      <c r="P7" s="38"/>
      <c r="Q7" s="38"/>
      <c r="R7" s="40"/>
    </row>
    <row r="8">
      <c r="A8" s="13"/>
      <c r="D8" s="51"/>
      <c r="E8" s="51"/>
      <c r="F8" s="59"/>
      <c r="G8" s="51"/>
      <c r="H8" s="51"/>
      <c r="I8" s="51"/>
      <c r="J8" s="13"/>
      <c r="L8" s="61"/>
      <c r="M8" s="63"/>
      <c r="N8" s="65"/>
      <c r="O8" s="65"/>
      <c r="P8" s="65"/>
      <c r="Q8" s="65"/>
      <c r="R8" s="67"/>
    </row>
    <row r="9">
      <c r="A9" s="72" t="s">
        <v>27</v>
      </c>
      <c r="B9" s="74"/>
      <c r="C9" s="75"/>
      <c r="D9" s="76"/>
      <c r="E9" s="76"/>
      <c r="F9" s="76"/>
      <c r="G9" s="76"/>
      <c r="H9" s="76"/>
      <c r="I9" s="76"/>
      <c r="J9" s="72" t="s">
        <v>31</v>
      </c>
      <c r="K9" s="74"/>
      <c r="L9" s="78"/>
      <c r="M9" s="79"/>
      <c r="N9" s="79"/>
      <c r="O9" s="79"/>
      <c r="P9" s="79"/>
      <c r="Q9" s="79"/>
      <c r="R9" s="81"/>
    </row>
    <row r="10">
      <c r="A10" s="1"/>
      <c r="D10" s="76"/>
      <c r="E10" s="76"/>
      <c r="F10" s="76"/>
      <c r="G10" s="76"/>
      <c r="H10" s="76"/>
      <c r="I10" s="76"/>
      <c r="J10" s="1"/>
      <c r="M10" s="79"/>
      <c r="N10" s="79"/>
      <c r="O10" s="79"/>
      <c r="P10" s="79"/>
      <c r="Q10" s="79"/>
      <c r="R10" s="82"/>
    </row>
    <row r="11">
      <c r="A11" s="72" t="s">
        <v>34</v>
      </c>
      <c r="B11" s="74"/>
      <c r="C11" s="75"/>
      <c r="D11" s="91">
        <f t="shared" ref="D11:E11" si="1">SUM(D12:D14)</f>
        <v>46957.83</v>
      </c>
      <c r="E11" s="91">
        <f t="shared" si="1"/>
        <v>110495.58</v>
      </c>
      <c r="F11" s="95">
        <f t="shared" ref="F11:F14" si="3">(E11-D11)/E11</f>
        <v>0.5750252635</v>
      </c>
      <c r="G11" s="91">
        <f t="shared" ref="G11:I11" si="2">SUM(G12:G14)</f>
        <v>99585.01588</v>
      </c>
      <c r="H11" s="91">
        <f t="shared" si="2"/>
        <v>143501.81</v>
      </c>
      <c r="I11" s="91">
        <f t="shared" si="2"/>
        <v>143501.81</v>
      </c>
      <c r="J11" s="99" t="s">
        <v>43</v>
      </c>
      <c r="K11" s="74"/>
      <c r="L11" s="78"/>
      <c r="M11" s="101">
        <f>'Prévisionnel 2017 SCN1'!E5</f>
        <v>56481.18</v>
      </c>
      <c r="N11" s="101">
        <f>'Prévisionnel 2017 SCN1'!E49</f>
        <v>127157.51</v>
      </c>
      <c r="O11" s="101">
        <f>'Prévisionnel 2017 SCN2'!E49</f>
        <v>115910.784</v>
      </c>
      <c r="P11" s="101">
        <f>'Prévisionnel 2017 SCN3'!E49</f>
        <v>169467.85</v>
      </c>
      <c r="Q11" s="101">
        <f>'Prévisionnel 2017 SCN4'!E49</f>
        <v>169467.85</v>
      </c>
      <c r="R11" s="103">
        <f>(N11-M11)/M11</f>
        <v>1.251325309</v>
      </c>
    </row>
    <row r="12">
      <c r="A12" s="99" t="s">
        <v>58</v>
      </c>
      <c r="B12" s="74"/>
      <c r="C12" s="75"/>
      <c r="D12" s="101">
        <f>'Prévisionnel 2017 SCN1'!E19</f>
        <v>50108.64</v>
      </c>
      <c r="E12" s="101">
        <f>'Prévisionnel 2017 SCN1'!E63</f>
        <v>110116.58</v>
      </c>
      <c r="F12" s="95">
        <f t="shared" si="3"/>
        <v>0.5449491802</v>
      </c>
      <c r="G12" s="101">
        <f>'Prévisionnel 2017 SCN2'!E64</f>
        <v>99154.01588</v>
      </c>
      <c r="H12" s="101">
        <f>'Prévisionnel 2017 SCN3'!E64</f>
        <v>143070.81</v>
      </c>
      <c r="I12" s="101">
        <f>'Prévisionnel 2017 SCN4'!E65</f>
        <v>143070.81</v>
      </c>
      <c r="J12" s="99" t="s">
        <v>62</v>
      </c>
      <c r="K12" s="74"/>
      <c r="L12" s="78"/>
      <c r="M12" s="106"/>
      <c r="N12" s="106"/>
      <c r="O12" s="106"/>
      <c r="P12" s="106"/>
      <c r="Q12" s="106"/>
      <c r="R12" s="82"/>
    </row>
    <row r="13">
      <c r="A13" s="99" t="s">
        <v>64</v>
      </c>
      <c r="B13" s="74"/>
      <c r="C13" s="75"/>
      <c r="D13" s="101">
        <f>-'Prévisionnel 2017 SCN1'!E42</f>
        <v>-3727</v>
      </c>
      <c r="E13" s="101">
        <f>'Prévisionnel 2017 SCN1'!E42-'Prévisionnel 2017 SCN1'!E86</f>
        <v>-273</v>
      </c>
      <c r="F13" s="95">
        <f t="shared" si="3"/>
        <v>-12.65201465</v>
      </c>
      <c r="G13" s="101">
        <f>'Prévisionnel 2017 SCN2'!E42-'Prévisionnel 2017 SCN2'!E87</f>
        <v>-273</v>
      </c>
      <c r="H13" s="101">
        <f>'Prévisionnel 2017 SCN3'!E42-'Prévisionnel 2017 SCN3'!E87</f>
        <v>-273</v>
      </c>
      <c r="I13" s="101">
        <f>'Prévisionnel 2017 SCN4'!E42-'Prévisionnel 2017 SCN4'!E88</f>
        <v>-273</v>
      </c>
      <c r="J13" s="99" t="s">
        <v>66</v>
      </c>
      <c r="K13" s="74"/>
      <c r="L13" s="78"/>
      <c r="M13" s="101">
        <f>'Prévisionnel 2017 SCN1'!E6</f>
        <v>11380</v>
      </c>
      <c r="N13" s="101">
        <f>'Prévisionnel 2017 SCN1'!E50</f>
        <v>14321.4</v>
      </c>
      <c r="O13" s="101">
        <f>'Prévisionnel 2017 SCN2'!E50</f>
        <v>11195</v>
      </c>
      <c r="P13" s="101">
        <f>'Prévisionnel 2017 SCN3'!E50</f>
        <v>11195</v>
      </c>
      <c r="Q13" s="101">
        <f>'Prévisionnel 2017 SCN4'!E50</f>
        <v>10403</v>
      </c>
      <c r="R13" s="103">
        <f t="shared" ref="R13:R15" si="4">(N13-M13)/M13</f>
        <v>0.2584710018</v>
      </c>
    </row>
    <row r="14">
      <c r="A14" s="99" t="s">
        <v>68</v>
      </c>
      <c r="B14" s="74"/>
      <c r="C14" s="75"/>
      <c r="D14" s="118">
        <f>'Prévisionnel 2017 SCN1'!E24</f>
        <v>576.19</v>
      </c>
      <c r="E14" s="101">
        <f>'Prévisionnel 2017 SCN1'!E68</f>
        <v>652</v>
      </c>
      <c r="F14" s="95">
        <f t="shared" si="3"/>
        <v>0.1162730061</v>
      </c>
      <c r="G14" s="101">
        <f>'Prévisionnel 2017 SCN2'!E69</f>
        <v>704</v>
      </c>
      <c r="H14" s="101">
        <f>'Prévisionnel 2017 SCN3'!E69</f>
        <v>704</v>
      </c>
      <c r="I14" s="101">
        <f>'Prévisionnel 2017 SCN4'!E70</f>
        <v>704</v>
      </c>
      <c r="J14" s="99" t="s">
        <v>72</v>
      </c>
      <c r="K14" s="74"/>
      <c r="L14" s="78"/>
      <c r="M14" s="101">
        <f>'Prévisionnel 2017 SCN1'!E8</f>
        <v>7679.8</v>
      </c>
      <c r="N14" s="101">
        <f>'Prévisionnel 2017 SCN1'!E52</f>
        <v>27977.04</v>
      </c>
      <c r="O14" s="101">
        <f>'Prévisionnel 2017 SCN2'!E52</f>
        <v>29309.28</v>
      </c>
      <c r="P14" s="101">
        <f>'Prévisionnel 2017 SCN3'!E52</f>
        <v>29309.28</v>
      </c>
      <c r="Q14" s="101">
        <f>'Prévisionnel 2017 SCN4'!E52</f>
        <v>29309.28</v>
      </c>
      <c r="R14" s="103">
        <f t="shared" si="4"/>
        <v>2.642938618</v>
      </c>
    </row>
    <row r="15">
      <c r="A15" s="17"/>
      <c r="B15" s="17"/>
      <c r="C15" s="19"/>
      <c r="D15" s="19"/>
      <c r="E15" s="19"/>
      <c r="F15" s="19"/>
      <c r="G15" s="19"/>
      <c r="H15" s="19"/>
      <c r="I15" s="19"/>
      <c r="J15" s="10" t="s">
        <v>26</v>
      </c>
      <c r="K15" s="10"/>
      <c r="L15" s="76"/>
      <c r="M15" s="101">
        <f>'Prévisionnel 2017 SCN1'!E7</f>
        <v>635</v>
      </c>
      <c r="N15" s="101">
        <f>'Prévisionnel 2017 SCN1'!E51-23076</f>
        <v>737</v>
      </c>
      <c r="O15" s="101">
        <f>'Prévisionnel 2017 SCN2'!E51-23076</f>
        <v>817</v>
      </c>
      <c r="P15" s="101">
        <f>'Prévisionnel 2017 SCN3'!E51-23076</f>
        <v>817</v>
      </c>
      <c r="Q15" s="101">
        <f>'Prévisionnel 2017 SCN4'!E51-23076</f>
        <v>817</v>
      </c>
      <c r="R15" s="103">
        <f t="shared" si="4"/>
        <v>0.1606299213</v>
      </c>
    </row>
    <row r="16">
      <c r="A16" s="72" t="s">
        <v>77</v>
      </c>
      <c r="B16" s="74"/>
      <c r="C16" s="75"/>
      <c r="D16" s="91">
        <f t="shared" ref="D16:E16" si="5">SUM(D17:D22)</f>
        <v>2011.22</v>
      </c>
      <c r="E16" s="91">
        <f t="shared" si="5"/>
        <v>4466.94</v>
      </c>
      <c r="F16" s="95">
        <f t="shared" ref="F16:F17" si="6">(E16-D16)/E16</f>
        <v>0.549754418</v>
      </c>
      <c r="G16" s="91">
        <f>SUM(E17:E22)</f>
        <v>4466.94</v>
      </c>
      <c r="H16" s="91">
        <f>SUM(E17:E22)</f>
        <v>4466.94</v>
      </c>
      <c r="I16" s="91">
        <f>SUM(I17:I22)</f>
        <v>5421.03</v>
      </c>
      <c r="J16" s="99" t="s">
        <v>80</v>
      </c>
      <c r="K16" s="74"/>
      <c r="L16" s="78"/>
      <c r="M16" s="101"/>
      <c r="N16" s="106"/>
      <c r="O16" s="106"/>
      <c r="P16" s="106"/>
      <c r="Q16" s="106">
        <f>'Prévisionnel 2017 SCN4'!E53</f>
        <v>35000</v>
      </c>
      <c r="R16" s="82"/>
    </row>
    <row r="17">
      <c r="A17" s="99" t="s">
        <v>42</v>
      </c>
      <c r="B17" s="74"/>
      <c r="C17" s="75"/>
      <c r="D17" s="101">
        <f>'Prévisionnel 2017 SCN1'!E16</f>
        <v>496.19</v>
      </c>
      <c r="E17" s="101">
        <f>'Prévisionnel 2017 SCN1'!E60</f>
        <v>1832.31</v>
      </c>
      <c r="F17" s="95">
        <f t="shared" si="6"/>
        <v>0.7291997533</v>
      </c>
      <c r="G17" s="101">
        <f>'Prévisionnel 2017 SCN2'!E61</f>
        <v>1998</v>
      </c>
      <c r="H17" s="101">
        <f>'Prévisionnel 2017 SCN3'!E61</f>
        <v>1998</v>
      </c>
      <c r="I17" s="101">
        <f>'Prévisionnel 2017 SCN4'!E62</f>
        <v>1998</v>
      </c>
      <c r="J17" s="10"/>
      <c r="K17" s="10"/>
      <c r="L17" s="76"/>
      <c r="M17" s="106"/>
      <c r="N17" s="106"/>
      <c r="O17" s="106"/>
      <c r="P17" s="106"/>
      <c r="Q17" s="106"/>
      <c r="R17" s="82"/>
    </row>
    <row r="18">
      <c r="A18" s="133" t="s">
        <v>44</v>
      </c>
      <c r="B18" s="133"/>
      <c r="C18" s="133"/>
      <c r="D18" s="118">
        <f>'Prévisionnel 2017 SCN1'!E17</f>
        <v>54.91</v>
      </c>
      <c r="E18" s="118">
        <f>'Prévisionnel 2017 SCN1'!E61</f>
        <v>423.1</v>
      </c>
      <c r="F18" s="95"/>
      <c r="G18" s="118">
        <f>'Prévisionnel 2017 SCN2'!E62</f>
        <v>260</v>
      </c>
      <c r="H18" s="118">
        <f>'Prévisionnel 2017 SCN3'!E62</f>
        <v>260</v>
      </c>
      <c r="I18" s="118">
        <f>'Prévisionnel 2017 SCN4'!E63</f>
        <v>260</v>
      </c>
      <c r="J18" s="10"/>
      <c r="K18" s="10"/>
      <c r="L18" s="76"/>
      <c r="M18" s="106"/>
      <c r="N18" s="106"/>
      <c r="O18" s="106"/>
      <c r="P18" s="106"/>
      <c r="Q18" s="106"/>
      <c r="R18" s="82"/>
    </row>
    <row r="19">
      <c r="A19" s="99" t="s">
        <v>84</v>
      </c>
      <c r="B19" s="74"/>
      <c r="C19" s="75"/>
      <c r="D19" s="118">
        <f>'Prévisionnel 2017 SCN1'!E21</f>
        <v>972.11</v>
      </c>
      <c r="E19" s="118">
        <f>'Prévisionnel 2017 SCN1'!E65</f>
        <v>1199.18</v>
      </c>
      <c r="F19" s="95">
        <f t="shared" ref="F19:F21" si="7">(E19-D19)/E19</f>
        <v>0.1893543922</v>
      </c>
      <c r="G19" s="118">
        <f>'Prévisionnel 2017 SCN2'!E66</f>
        <v>1685.27</v>
      </c>
      <c r="H19" s="118">
        <f>'Prévisionnel 2017 SCN3'!E66</f>
        <v>1685.27</v>
      </c>
      <c r="I19" s="118">
        <f>'Prévisionnel 2017 SCN4'!E67</f>
        <v>1685.27</v>
      </c>
      <c r="J19" s="10"/>
      <c r="K19" s="10"/>
      <c r="L19" s="76"/>
      <c r="M19" s="106"/>
      <c r="N19" s="106"/>
      <c r="O19" s="106"/>
      <c r="P19" s="106"/>
      <c r="Q19" s="106"/>
      <c r="R19" s="82"/>
    </row>
    <row r="20">
      <c r="A20" s="99" t="s">
        <v>45</v>
      </c>
      <c r="B20" s="74"/>
      <c r="C20" s="75"/>
      <c r="D20" s="118">
        <f>'Prévisionnel 2017 SCN1'!E18</f>
        <v>257.99</v>
      </c>
      <c r="E20" s="118">
        <f>'Prévisionnel 2017 SCN1'!E62</f>
        <v>669.66</v>
      </c>
      <c r="F20" s="95">
        <f t="shared" si="7"/>
        <v>0.6147447959</v>
      </c>
      <c r="G20" s="118">
        <f>'Prévisionnel 2017 SCN2'!E63</f>
        <v>1090.26</v>
      </c>
      <c r="H20" s="118">
        <f>'Prévisionnel 2017 SCN3'!E63</f>
        <v>1090.26</v>
      </c>
      <c r="I20" s="118">
        <f>'Prévisionnel 2017 SCN4'!E64</f>
        <v>1090.26</v>
      </c>
      <c r="J20" s="10"/>
      <c r="K20" s="10"/>
      <c r="L20" s="76"/>
      <c r="M20" s="106"/>
      <c r="N20" s="106"/>
      <c r="O20" s="106"/>
      <c r="P20" s="106"/>
      <c r="Q20" s="106"/>
      <c r="R20" s="82"/>
    </row>
    <row r="21">
      <c r="A21" s="99" t="s">
        <v>87</v>
      </c>
      <c r="B21" s="74"/>
      <c r="C21" s="75"/>
      <c r="D21" s="101">
        <f>'Prévisionnel 2017 SCN1'!E25</f>
        <v>230.02</v>
      </c>
      <c r="E21" s="101">
        <f>'Prévisionnel 2017 SCN1'!E69</f>
        <v>342.69</v>
      </c>
      <c r="F21" s="95">
        <f t="shared" si="7"/>
        <v>0.3287811141</v>
      </c>
      <c r="G21" s="101">
        <f>'Prévisionnel 2017 SCN2'!E70</f>
        <v>387.5</v>
      </c>
      <c r="H21" s="101">
        <f>'Prévisionnel 2017 SCN3'!E70</f>
        <v>387.5</v>
      </c>
      <c r="I21" s="101">
        <f>'Prévisionnel 2017 SCN4'!E71</f>
        <v>387.5</v>
      </c>
      <c r="J21" s="10"/>
      <c r="K21" s="10"/>
      <c r="L21" s="76"/>
      <c r="M21" s="106"/>
      <c r="N21" s="106"/>
      <c r="O21" s="106"/>
      <c r="P21" s="106"/>
      <c r="Q21" s="106"/>
      <c r="R21" s="82"/>
    </row>
    <row r="22">
      <c r="A22" s="99"/>
      <c r="B22" s="74"/>
      <c r="C22" s="75"/>
      <c r="D22" s="101"/>
      <c r="E22" s="106"/>
      <c r="F22" s="82"/>
      <c r="G22" s="106"/>
      <c r="H22" s="106"/>
      <c r="I22" s="106"/>
      <c r="J22" s="10"/>
      <c r="K22" s="10"/>
      <c r="L22" s="76"/>
      <c r="M22" s="106"/>
      <c r="N22" s="106"/>
      <c r="O22" s="106"/>
      <c r="P22" s="106"/>
      <c r="Q22" s="106"/>
      <c r="R22" s="82"/>
    </row>
    <row r="23">
      <c r="A23" s="1"/>
      <c r="D23" s="106"/>
      <c r="E23" s="106"/>
      <c r="F23" s="82"/>
      <c r="G23" s="106"/>
      <c r="H23" s="106"/>
      <c r="I23" s="106"/>
      <c r="J23" s="10"/>
      <c r="K23" s="10"/>
      <c r="L23" s="76"/>
      <c r="M23" s="106"/>
      <c r="N23" s="106"/>
      <c r="O23" s="106"/>
      <c r="P23" s="106"/>
      <c r="Q23" s="106"/>
      <c r="R23" s="82"/>
    </row>
    <row r="24">
      <c r="A24" s="72" t="s">
        <v>89</v>
      </c>
      <c r="B24" s="74"/>
      <c r="C24" s="75"/>
      <c r="D24" s="91">
        <f t="shared" ref="D24:I24" si="8">SUM(D25:D30)</f>
        <v>5536.76</v>
      </c>
      <c r="E24" s="91">
        <f t="shared" si="8"/>
        <v>20980.9225</v>
      </c>
      <c r="F24" s="91">
        <f t="shared" si="8"/>
        <v>2.370996374</v>
      </c>
      <c r="G24" s="91">
        <f t="shared" si="8"/>
        <v>22486.93654</v>
      </c>
      <c r="H24" s="91">
        <f t="shared" si="8"/>
        <v>24739.1004</v>
      </c>
      <c r="I24" s="91">
        <f t="shared" si="8"/>
        <v>42604.37877</v>
      </c>
      <c r="J24" s="10"/>
      <c r="K24" s="10"/>
      <c r="L24" s="76"/>
      <c r="M24" s="106"/>
      <c r="N24" s="106"/>
      <c r="O24" s="106"/>
      <c r="P24" s="106"/>
      <c r="Q24" s="106"/>
      <c r="R24" s="82"/>
    </row>
    <row r="25">
      <c r="A25" s="99" t="s">
        <v>90</v>
      </c>
      <c r="B25" s="74"/>
      <c r="C25" s="75"/>
      <c r="D25" s="101">
        <f>'Prévisionnel 2017 SCN1'!E20</f>
        <v>4815</v>
      </c>
      <c r="E25" s="101">
        <f>'Prévisionnel 2017 SCN1'!E64</f>
        <v>9780</v>
      </c>
      <c r="F25" s="95">
        <f t="shared" ref="F25:F29" si="9">(E25-D25)/E25</f>
        <v>0.5076687117</v>
      </c>
      <c r="G25" s="101">
        <f>'Prévisionnel 2017 SCN2'!E65</f>
        <v>9910</v>
      </c>
      <c r="H25" s="101">
        <f>'Prévisionnel 2017 SCN3'!E65</f>
        <v>9910</v>
      </c>
      <c r="I25" s="101">
        <f>'Prévisionnel 2017 SCN4'!E66</f>
        <v>9910</v>
      </c>
      <c r="J25" s="10"/>
      <c r="K25" s="10"/>
      <c r="L25" s="76"/>
      <c r="M25" s="106"/>
      <c r="N25" s="106"/>
      <c r="O25" s="106"/>
      <c r="P25" s="106"/>
      <c r="Q25" s="106"/>
      <c r="R25" s="82"/>
    </row>
    <row r="26">
      <c r="A26" s="99" t="s">
        <v>93</v>
      </c>
      <c r="B26" s="74"/>
      <c r="C26" s="75"/>
      <c r="D26" s="101">
        <f>'Prévisionnel 2017 SCN1'!E22</f>
        <v>173.08</v>
      </c>
      <c r="E26" s="101">
        <f>'Prévisionnel 2017 SCN1'!E66</f>
        <v>299.26</v>
      </c>
      <c r="F26" s="95">
        <f t="shared" si="9"/>
        <v>0.4216400454</v>
      </c>
      <c r="G26" s="101">
        <f>'Prévisionnel 2017 SCN2'!E67</f>
        <v>299.26</v>
      </c>
      <c r="H26" s="101">
        <f>'Prévisionnel 2017 SCN3'!E67</f>
        <v>299.26</v>
      </c>
      <c r="I26" s="101">
        <f>'Prévisionnel 2017 SCN4'!E68</f>
        <v>299.26</v>
      </c>
      <c r="J26" s="10"/>
      <c r="K26" s="10"/>
      <c r="L26" s="76"/>
      <c r="M26" s="106"/>
      <c r="N26" s="106"/>
      <c r="O26" s="106"/>
      <c r="P26" s="106"/>
      <c r="Q26" s="106"/>
      <c r="R26" s="82"/>
    </row>
    <row r="27">
      <c r="A27" s="99" t="s">
        <v>50</v>
      </c>
      <c r="B27" s="74"/>
      <c r="C27" s="75"/>
      <c r="D27" s="101">
        <f>'Prévisionnel 2017 SCN1'!E26</f>
        <v>204.15</v>
      </c>
      <c r="E27" s="101">
        <f>'Prévisionnel 2017 SCN1'!E70</f>
        <v>208.58</v>
      </c>
      <c r="F27" s="95">
        <f t="shared" si="9"/>
        <v>0.0212388532</v>
      </c>
      <c r="G27" s="101">
        <f>'Prévisionnel 2017 SCN2'!E71</f>
        <v>227.3</v>
      </c>
      <c r="H27" s="101">
        <f>'Prévisionnel 2017 SCN3'!E71</f>
        <v>227.3</v>
      </c>
      <c r="I27" s="101">
        <f>'Prévisionnel 2017 SCN4'!E72</f>
        <v>227.3</v>
      </c>
      <c r="J27" s="10"/>
      <c r="K27" s="10"/>
      <c r="L27" s="76"/>
      <c r="M27" s="106"/>
      <c r="N27" s="106"/>
      <c r="O27" s="106"/>
      <c r="P27" s="106"/>
      <c r="Q27" s="106"/>
      <c r="R27" s="82"/>
    </row>
    <row r="28">
      <c r="A28" s="99" t="s">
        <v>95</v>
      </c>
      <c r="B28" s="74"/>
      <c r="C28" s="75"/>
      <c r="D28" s="101">
        <f>'Prévisionnel 2017 SCN1'!E15</f>
        <v>231.2</v>
      </c>
      <c r="E28" s="101">
        <f>'Prévisionnel 2017 SCN1'!E59</f>
        <v>2005.32</v>
      </c>
      <c r="F28" s="95">
        <f t="shared" si="9"/>
        <v>0.8847066802</v>
      </c>
      <c r="G28" s="101">
        <f>'Prévisionnel 2017 SCN2'!E60</f>
        <v>3405.32</v>
      </c>
      <c r="H28" s="101">
        <f>'Prévisionnel 2017 SCN3'!E60</f>
        <v>3405.32</v>
      </c>
      <c r="I28" s="101">
        <f>'Prévisionnel 2017 SCN4'!E61</f>
        <v>20505.32</v>
      </c>
      <c r="J28" s="10"/>
      <c r="K28" s="10"/>
      <c r="L28" s="76"/>
      <c r="M28" s="106"/>
      <c r="N28" s="106"/>
      <c r="O28" s="106"/>
      <c r="P28" s="106"/>
      <c r="Q28" s="106"/>
      <c r="R28" s="82"/>
    </row>
    <row r="29">
      <c r="A29" s="99" t="s">
        <v>70</v>
      </c>
      <c r="B29" s="74"/>
      <c r="C29" s="75"/>
      <c r="D29" s="101">
        <f>'Prévisionnel 2017 SCN1'!E29</f>
        <v>113.33</v>
      </c>
      <c r="E29" s="101">
        <f>'Prévisionnel 2017 SCN1'!E73</f>
        <v>244.11</v>
      </c>
      <c r="F29" s="95">
        <f t="shared" si="9"/>
        <v>0.5357420835</v>
      </c>
      <c r="G29" s="101">
        <f>'Prévisionnel 2017 SCN2'!E74</f>
        <v>129.05</v>
      </c>
      <c r="H29" s="101">
        <f>'Prévisionnel 2017 SCN3'!E74</f>
        <v>129.05</v>
      </c>
      <c r="I29" s="101">
        <f>'Prévisionnel 2017 SCN4'!E75</f>
        <v>129.05</v>
      </c>
      <c r="J29" s="10"/>
      <c r="K29" s="10"/>
      <c r="L29" s="76"/>
      <c r="M29" s="106"/>
      <c r="N29" s="106"/>
      <c r="O29" s="106"/>
      <c r="P29" s="106"/>
      <c r="Q29" s="106"/>
      <c r="R29" s="82"/>
    </row>
    <row r="30">
      <c r="A30" s="152" t="s">
        <v>75</v>
      </c>
      <c r="B30" s="153"/>
      <c r="C30" s="154"/>
      <c r="D30" s="101">
        <v>0.0</v>
      </c>
      <c r="E30" s="101">
        <f>'Prévisionnel 2017 SCN1'!E75</f>
        <v>8443.6525</v>
      </c>
      <c r="F30" s="95"/>
      <c r="G30" s="101">
        <f>'Prévisionnel 2017 SCN2'!E76</f>
        <v>8516.006541</v>
      </c>
      <c r="H30" s="101">
        <f>'Prévisionnel 2017 SCN3'!E76</f>
        <v>10768.1704</v>
      </c>
      <c r="I30" s="101">
        <f>'Prévisionnel 2017 SCN4'!E77</f>
        <v>11533.44877</v>
      </c>
      <c r="J30" s="10"/>
      <c r="K30" s="10"/>
      <c r="L30" s="76"/>
      <c r="M30" s="106"/>
      <c r="N30" s="106"/>
      <c r="O30" s="106"/>
      <c r="P30" s="106"/>
      <c r="Q30" s="106"/>
      <c r="R30" s="82"/>
      <c r="S30" s="1"/>
      <c r="T30" s="1"/>
      <c r="U30" s="1"/>
      <c r="V30" s="1"/>
      <c r="W30" s="1"/>
      <c r="X30" s="1"/>
      <c r="Y30" s="1"/>
      <c r="Z30" s="1"/>
    </row>
    <row r="31">
      <c r="A31" s="72" t="s">
        <v>103</v>
      </c>
      <c r="B31" s="74"/>
      <c r="C31" s="75"/>
      <c r="D31" s="91">
        <v>0.0</v>
      </c>
      <c r="E31" s="91">
        <v>0.0</v>
      </c>
      <c r="F31" s="82"/>
      <c r="G31" s="91">
        <v>0.0</v>
      </c>
      <c r="H31" s="91">
        <v>0.0</v>
      </c>
      <c r="I31" s="91">
        <v>0.0</v>
      </c>
      <c r="J31" s="10"/>
      <c r="K31" s="10"/>
      <c r="L31" s="76"/>
      <c r="M31" s="106"/>
      <c r="N31" s="106"/>
      <c r="O31" s="106"/>
      <c r="P31" s="106"/>
      <c r="Q31" s="106"/>
      <c r="R31" s="82"/>
    </row>
    <row r="32">
      <c r="A32" s="1"/>
      <c r="D32" s="106"/>
      <c r="E32" s="106"/>
      <c r="F32" s="82"/>
      <c r="G32" s="106"/>
      <c r="H32" s="106"/>
      <c r="I32" s="106"/>
      <c r="J32" s="10"/>
      <c r="K32" s="10"/>
      <c r="L32" s="76"/>
      <c r="M32" s="106"/>
      <c r="N32" s="106"/>
      <c r="O32" s="106"/>
      <c r="P32" s="106"/>
      <c r="Q32" s="106"/>
      <c r="R32" s="82"/>
    </row>
    <row r="33">
      <c r="A33" s="72" t="s">
        <v>104</v>
      </c>
      <c r="B33" s="74"/>
      <c r="C33" s="75"/>
      <c r="D33" s="91">
        <f t="shared" ref="D33:E33" si="10">SUM(D34:D35)</f>
        <v>3729.26</v>
      </c>
      <c r="E33" s="91">
        <f t="shared" si="10"/>
        <v>33706.81</v>
      </c>
      <c r="F33" s="95">
        <f t="shared" ref="F33:F35" si="12">(E33-D33)/E33</f>
        <v>0.8893618233</v>
      </c>
      <c r="G33" s="91">
        <f t="shared" ref="G33:I33" si="11">SUM(G34:G35)</f>
        <v>35263.89</v>
      </c>
      <c r="H33" s="91">
        <f t="shared" si="11"/>
        <v>35263.89</v>
      </c>
      <c r="I33" s="91">
        <f t="shared" si="11"/>
        <v>35263.89</v>
      </c>
      <c r="J33" s="10"/>
      <c r="K33" s="10"/>
      <c r="L33" s="76"/>
      <c r="M33" s="106"/>
      <c r="N33" s="106"/>
      <c r="O33" s="106"/>
      <c r="P33" s="106"/>
      <c r="Q33" s="106"/>
      <c r="R33" s="82"/>
    </row>
    <row r="34">
      <c r="A34" s="99" t="s">
        <v>106</v>
      </c>
      <c r="B34" s="74"/>
      <c r="C34" s="75"/>
      <c r="D34" s="118">
        <f>'Prévisionnel 2017 SCN1'!E27</f>
        <v>3370.26</v>
      </c>
      <c r="E34" s="118">
        <f>'Prévisionnel 2017 SCN1'!E71</f>
        <v>23608.81</v>
      </c>
      <c r="F34" s="95">
        <f t="shared" si="12"/>
        <v>0.8572456638</v>
      </c>
      <c r="G34" s="118">
        <f>'Prévisionnel 2017 SCN2'!E72</f>
        <v>24714.89</v>
      </c>
      <c r="H34" s="118">
        <f>'Prévisionnel 2017 SCN3'!E72</f>
        <v>24714.89</v>
      </c>
      <c r="I34" s="118">
        <f>'Prévisionnel 2017 SCN4'!E73</f>
        <v>24714.89</v>
      </c>
      <c r="J34" s="10"/>
      <c r="K34" s="10"/>
      <c r="L34" s="76"/>
      <c r="M34" s="106"/>
      <c r="N34" s="106"/>
      <c r="O34" s="106"/>
      <c r="P34" s="106"/>
      <c r="Q34" s="106"/>
      <c r="R34" s="82"/>
    </row>
    <row r="35">
      <c r="A35" s="99" t="s">
        <v>109</v>
      </c>
      <c r="B35" s="74"/>
      <c r="C35" s="75"/>
      <c r="D35" s="118">
        <f>'Prévisionnel 2017 SCN1'!E28</f>
        <v>359</v>
      </c>
      <c r="E35" s="118">
        <f>'Prévisionnel 2017 SCN1'!E72</f>
        <v>10098</v>
      </c>
      <c r="F35" s="95">
        <f t="shared" si="12"/>
        <v>0.9644484056</v>
      </c>
      <c r="G35" s="118">
        <f>'Prévisionnel 2017 SCN2'!E73</f>
        <v>10549</v>
      </c>
      <c r="H35" s="118">
        <f>'Prévisionnel 2017 SCN3'!E73</f>
        <v>10549</v>
      </c>
      <c r="I35" s="118">
        <f>'Prévisionnel 2017 SCN4'!E74</f>
        <v>10549</v>
      </c>
      <c r="J35" s="10"/>
      <c r="K35" s="10"/>
      <c r="L35" s="76"/>
      <c r="M35" s="106"/>
      <c r="N35" s="106"/>
      <c r="O35" s="106"/>
      <c r="P35" s="106"/>
      <c r="Q35" s="106"/>
      <c r="R35" s="82"/>
    </row>
    <row r="36">
      <c r="A36" s="1"/>
      <c r="D36" s="106"/>
      <c r="E36" s="106"/>
      <c r="F36" s="82"/>
      <c r="G36" s="106"/>
      <c r="H36" s="106"/>
      <c r="I36" s="106"/>
      <c r="J36" s="10"/>
      <c r="K36" s="10"/>
      <c r="L36" s="76"/>
      <c r="M36" s="106"/>
      <c r="N36" s="106"/>
      <c r="O36" s="106"/>
      <c r="P36" s="106"/>
      <c r="Q36" s="106"/>
      <c r="R36" s="82"/>
    </row>
    <row r="37">
      <c r="A37" s="72" t="s">
        <v>110</v>
      </c>
      <c r="B37" s="74"/>
      <c r="C37" s="75"/>
      <c r="D37" s="91">
        <f>'Solde Intermediaire de Gestion '!C32</f>
        <v>1481.728</v>
      </c>
      <c r="E37" s="91">
        <f>'Solde Intermediaire de Gestion '!F32</f>
        <v>1813.418</v>
      </c>
      <c r="F37" s="82"/>
      <c r="G37" s="91">
        <f>'Solde Intermediaire de Gestion '!I32</f>
        <v>3314.348</v>
      </c>
      <c r="H37" s="91">
        <f>'Solde Intermediaire de Gestion '!L32</f>
        <v>3314.348</v>
      </c>
      <c r="I37" s="91">
        <f>'Solde Intermediaire de Gestion '!N32</f>
        <v>3314.348</v>
      </c>
      <c r="J37" s="10"/>
      <c r="K37" s="10"/>
      <c r="L37" s="76"/>
      <c r="M37" s="106"/>
      <c r="N37" s="106"/>
      <c r="O37" s="106"/>
      <c r="P37" s="106"/>
      <c r="Q37" s="106"/>
      <c r="R37" s="82"/>
    </row>
    <row r="38">
      <c r="A38" s="166" t="s">
        <v>113</v>
      </c>
      <c r="B38" s="74"/>
      <c r="C38" s="75"/>
      <c r="D38" s="167">
        <f t="shared" ref="D38:E38" si="13">(D37+D33+D31+D24+D16+D11)</f>
        <v>59716.798</v>
      </c>
      <c r="E38" s="167">
        <f t="shared" si="13"/>
        <v>171463.6705</v>
      </c>
      <c r="F38" s="82"/>
      <c r="G38" s="167">
        <f t="shared" ref="G38:I38" si="14">(G37+G33+G31+G24+G16+G11)</f>
        <v>165117.1304</v>
      </c>
      <c r="H38" s="167">
        <f t="shared" si="14"/>
        <v>211286.0884</v>
      </c>
      <c r="I38" s="167">
        <f t="shared" si="14"/>
        <v>230105.4568</v>
      </c>
      <c r="J38" s="166" t="s">
        <v>113</v>
      </c>
      <c r="K38" s="74"/>
      <c r="L38" s="75"/>
      <c r="M38" s="167">
        <f t="shared" ref="M38:Q38" si="15">(SUM(M11:M37))</f>
        <v>76175.98</v>
      </c>
      <c r="N38" s="167">
        <f t="shared" si="15"/>
        <v>170192.95</v>
      </c>
      <c r="O38" s="167">
        <f t="shared" si="15"/>
        <v>157232.064</v>
      </c>
      <c r="P38" s="167">
        <f t="shared" si="15"/>
        <v>210789.13</v>
      </c>
      <c r="Q38" s="167">
        <f t="shared" si="15"/>
        <v>244997.13</v>
      </c>
      <c r="R38" s="103">
        <f>(N38-M38)/M38</f>
        <v>1.234207555</v>
      </c>
    </row>
    <row r="39">
      <c r="A39" s="1"/>
      <c r="D39" s="106"/>
      <c r="E39" s="106"/>
      <c r="F39" s="82"/>
      <c r="G39" s="106"/>
      <c r="H39" s="106"/>
      <c r="I39" s="106"/>
      <c r="J39" s="10"/>
      <c r="K39" s="10"/>
      <c r="L39" s="76"/>
      <c r="M39" s="106"/>
      <c r="N39" s="106"/>
      <c r="O39" s="106"/>
      <c r="P39" s="106"/>
      <c r="Q39" s="106"/>
      <c r="R39" s="82"/>
    </row>
    <row r="40">
      <c r="A40" s="72" t="s">
        <v>119</v>
      </c>
      <c r="B40" s="74"/>
      <c r="C40" s="75"/>
      <c r="D40" s="106"/>
      <c r="E40" s="173"/>
      <c r="F40" s="82"/>
      <c r="G40" s="173"/>
      <c r="H40" s="173"/>
      <c r="I40" s="173"/>
      <c r="J40" s="72" t="s">
        <v>123</v>
      </c>
      <c r="K40" s="74"/>
      <c r="L40" s="75"/>
      <c r="M40" s="106"/>
      <c r="N40" s="173"/>
      <c r="O40" s="173"/>
      <c r="P40" s="173"/>
      <c r="Q40" s="173"/>
      <c r="R40" s="82"/>
    </row>
    <row r="41">
      <c r="A41" s="99" t="s">
        <v>124</v>
      </c>
      <c r="B41" s="74"/>
      <c r="C41" s="75"/>
      <c r="D41" s="118">
        <v>0.0</v>
      </c>
      <c r="E41" s="177">
        <v>0.0</v>
      </c>
      <c r="F41" s="82"/>
      <c r="G41" s="177">
        <v>0.0</v>
      </c>
      <c r="H41" s="177">
        <v>0.0</v>
      </c>
      <c r="I41" s="177">
        <v>0.0</v>
      </c>
      <c r="J41" s="99" t="s">
        <v>126</v>
      </c>
      <c r="K41" s="74"/>
      <c r="L41" s="75"/>
      <c r="M41" s="106"/>
      <c r="N41" s="173"/>
      <c r="O41" s="173"/>
      <c r="P41" s="173"/>
      <c r="Q41" s="173"/>
      <c r="R41" s="82"/>
    </row>
    <row r="42">
      <c r="A42" s="99" t="s">
        <v>127</v>
      </c>
      <c r="B42" s="74"/>
      <c r="C42" s="75"/>
      <c r="D42" s="118">
        <v>0.0</v>
      </c>
      <c r="E42" s="177">
        <v>0.0</v>
      </c>
      <c r="F42" s="82"/>
      <c r="G42" s="177">
        <v>0.0</v>
      </c>
      <c r="H42" s="177">
        <v>0.0</v>
      </c>
      <c r="I42" s="177">
        <v>0.0</v>
      </c>
      <c r="J42" s="152" t="s">
        <v>128</v>
      </c>
      <c r="K42" s="10"/>
      <c r="L42" s="76"/>
      <c r="M42" s="106"/>
      <c r="N42" s="173"/>
      <c r="O42" s="173"/>
      <c r="P42" s="173"/>
      <c r="Q42" s="173"/>
      <c r="R42" s="82"/>
    </row>
    <row r="43">
      <c r="A43" s="166" t="s">
        <v>129</v>
      </c>
      <c r="B43" s="74"/>
      <c r="C43" s="75"/>
      <c r="D43" s="167">
        <f t="shared" ref="D43:E43" si="16">D42+D41</f>
        <v>0</v>
      </c>
      <c r="E43" s="167">
        <f t="shared" si="16"/>
        <v>0</v>
      </c>
      <c r="F43" s="82"/>
      <c r="G43" s="167">
        <f>E42+E41</f>
        <v>0</v>
      </c>
      <c r="H43" s="167">
        <f t="shared" ref="H43:I43" si="17">H42+H41</f>
        <v>0</v>
      </c>
      <c r="I43" s="167">
        <f t="shared" si="17"/>
        <v>0</v>
      </c>
      <c r="J43" s="10"/>
      <c r="K43" s="10"/>
      <c r="L43" s="76"/>
      <c r="M43" s="106"/>
      <c r="N43" s="173"/>
      <c r="O43" s="173"/>
      <c r="P43" s="173"/>
      <c r="Q43" s="173"/>
      <c r="R43" s="82"/>
    </row>
    <row r="44">
      <c r="A44" s="1"/>
      <c r="D44" s="106"/>
      <c r="E44" s="106"/>
      <c r="F44" s="82"/>
      <c r="G44" s="106"/>
      <c r="H44" s="106"/>
      <c r="I44" s="106"/>
      <c r="J44" s="166" t="s">
        <v>129</v>
      </c>
      <c r="K44" s="74"/>
      <c r="L44" s="75"/>
      <c r="M44" s="167">
        <f t="shared" ref="M44:Q44" si="18">(M41+M42)</f>
        <v>0</v>
      </c>
      <c r="N44" s="183">
        <f t="shared" si="18"/>
        <v>0</v>
      </c>
      <c r="O44" s="183">
        <f t="shared" si="18"/>
        <v>0</v>
      </c>
      <c r="P44" s="183">
        <f t="shared" si="18"/>
        <v>0</v>
      </c>
      <c r="Q44" s="183">
        <f t="shared" si="18"/>
        <v>0</v>
      </c>
      <c r="R44" s="82"/>
    </row>
    <row r="45">
      <c r="A45" s="72" t="s">
        <v>130</v>
      </c>
      <c r="B45" s="74"/>
      <c r="C45" s="75"/>
      <c r="D45" s="91">
        <f t="shared" ref="D45:E45" si="19">D46</f>
        <v>4296.96</v>
      </c>
      <c r="E45" s="91">
        <f t="shared" si="19"/>
        <v>450</v>
      </c>
      <c r="F45" s="82"/>
      <c r="G45" s="91">
        <f t="shared" ref="G45:I45" si="20">G46</f>
        <v>609</v>
      </c>
      <c r="H45" s="91">
        <f t="shared" si="20"/>
        <v>609</v>
      </c>
      <c r="I45" s="91">
        <f t="shared" si="20"/>
        <v>609</v>
      </c>
      <c r="J45" s="72" t="s">
        <v>131</v>
      </c>
      <c r="K45" s="74"/>
      <c r="L45" s="75"/>
      <c r="M45" s="106"/>
      <c r="N45" s="188"/>
      <c r="O45" s="188"/>
      <c r="P45" s="188"/>
      <c r="Q45" s="188"/>
      <c r="R45" s="82"/>
    </row>
    <row r="46">
      <c r="A46" s="10" t="s">
        <v>57</v>
      </c>
      <c r="B46" s="10"/>
      <c r="C46" s="76"/>
      <c r="D46" s="118">
        <f>'Prévisionnel 2017 SCN1'!E30</f>
        <v>4296.96</v>
      </c>
      <c r="E46" s="118">
        <f>'Prévisionnel 2017 SCN1'!E74</f>
        <v>450</v>
      </c>
      <c r="F46" s="82"/>
      <c r="G46" s="118">
        <f>'Prévisionnel 2017 SCN2'!E75</f>
        <v>609</v>
      </c>
      <c r="H46" s="118">
        <f>'Prévisionnel 2017 SCN3'!E75</f>
        <v>609</v>
      </c>
      <c r="I46" s="118">
        <f>'Prévisionnel 2017 SCN4'!E76</f>
        <v>609</v>
      </c>
      <c r="J46" s="99" t="s">
        <v>132</v>
      </c>
      <c r="K46" s="74"/>
      <c r="L46" s="75"/>
      <c r="M46" s="118">
        <v>23076.0</v>
      </c>
      <c r="N46" s="118">
        <v>0.0</v>
      </c>
      <c r="O46" s="118">
        <v>0.0</v>
      </c>
      <c r="P46" s="118">
        <v>0.0</v>
      </c>
      <c r="Q46" s="118">
        <v>0.0</v>
      </c>
      <c r="R46" s="103"/>
    </row>
    <row r="47">
      <c r="A47" s="10"/>
      <c r="B47" s="10"/>
      <c r="C47" s="76"/>
      <c r="D47" s="118"/>
      <c r="E47" s="118"/>
      <c r="F47" s="82"/>
      <c r="G47" s="118"/>
      <c r="H47" s="118"/>
      <c r="I47" s="118"/>
      <c r="J47" s="166" t="s">
        <v>133</v>
      </c>
      <c r="K47" s="74"/>
      <c r="L47" s="75"/>
      <c r="M47" s="167">
        <f t="shared" ref="M47:Q47" si="21">M46</f>
        <v>23076</v>
      </c>
      <c r="N47" s="167">
        <f t="shared" si="21"/>
        <v>0</v>
      </c>
      <c r="O47" s="167">
        <f t="shared" si="21"/>
        <v>0</v>
      </c>
      <c r="P47" s="167">
        <f t="shared" si="21"/>
        <v>0</v>
      </c>
      <c r="Q47" s="167">
        <f t="shared" si="21"/>
        <v>0</v>
      </c>
      <c r="R47" s="103">
        <f>(N47-M47)/M47</f>
        <v>-1</v>
      </c>
    </row>
    <row r="48">
      <c r="A48" s="166" t="s">
        <v>133</v>
      </c>
      <c r="B48" s="74"/>
      <c r="C48" s="75"/>
      <c r="D48" s="167">
        <f t="shared" ref="D48:E48" si="22">D45+D44</f>
        <v>4296.96</v>
      </c>
      <c r="E48" s="167">
        <f t="shared" si="22"/>
        <v>450</v>
      </c>
      <c r="F48" s="82"/>
      <c r="G48" s="167">
        <f t="shared" ref="G48:I48" si="23">G45+G44</f>
        <v>609</v>
      </c>
      <c r="H48" s="167">
        <f t="shared" si="23"/>
        <v>609</v>
      </c>
      <c r="I48" s="167">
        <f t="shared" si="23"/>
        <v>609</v>
      </c>
      <c r="J48" s="1"/>
      <c r="M48" s="79"/>
      <c r="N48" s="79"/>
      <c r="O48" s="79"/>
      <c r="P48" s="79"/>
      <c r="Q48" s="79"/>
      <c r="R48" s="82"/>
    </row>
    <row r="49">
      <c r="A49" s="192" t="s">
        <v>135</v>
      </c>
      <c r="B49" s="74"/>
      <c r="C49" s="75"/>
      <c r="D49" s="200">
        <f>SUM(D38+D43+D48)</f>
        <v>64013.758</v>
      </c>
      <c r="E49" s="204">
        <f>SUM(E45+E37+E33+E31+E24+E16+E11)</f>
        <v>171913.6705</v>
      </c>
      <c r="F49" s="206">
        <f>(E49-D49)/E49</f>
        <v>0.6276400951</v>
      </c>
      <c r="G49" s="204">
        <f t="shared" ref="G49:I49" si="24">SUM(G45+G37+G33+G31+G24+G16+G11)</f>
        <v>165726.1304</v>
      </c>
      <c r="H49" s="204">
        <f t="shared" si="24"/>
        <v>211895.0884</v>
      </c>
      <c r="I49" s="204">
        <f t="shared" si="24"/>
        <v>230714.4568</v>
      </c>
      <c r="J49" s="208" t="s">
        <v>138</v>
      </c>
      <c r="K49" s="209"/>
      <c r="L49" s="210"/>
      <c r="M49" s="212">
        <f t="shared" ref="M49:Q49" si="25">SUM(M38+M44+M47)</f>
        <v>99251.98</v>
      </c>
      <c r="N49" s="212">
        <f t="shared" si="25"/>
        <v>170192.95</v>
      </c>
      <c r="O49" s="212">
        <f t="shared" si="25"/>
        <v>157232.064</v>
      </c>
      <c r="P49" s="212">
        <f t="shared" si="25"/>
        <v>210789.13</v>
      </c>
      <c r="Q49" s="212">
        <f t="shared" si="25"/>
        <v>244997.13</v>
      </c>
      <c r="R49" s="103">
        <f>(N49-M49)/M49</f>
        <v>0.7147562195</v>
      </c>
    </row>
    <row r="50">
      <c r="A50" s="1"/>
      <c r="D50" s="76"/>
      <c r="E50" s="76"/>
      <c r="F50" s="82"/>
      <c r="G50" s="76"/>
      <c r="H50" s="76"/>
      <c r="I50" s="76"/>
      <c r="J50" s="10"/>
      <c r="K50" s="10"/>
      <c r="L50" s="79"/>
      <c r="M50" s="215"/>
      <c r="N50" s="215"/>
      <c r="O50" s="215"/>
      <c r="P50" s="215"/>
      <c r="Q50" s="215"/>
      <c r="R50" s="217"/>
    </row>
    <row r="51">
      <c r="A51" s="72" t="s">
        <v>140</v>
      </c>
      <c r="B51" s="74"/>
      <c r="C51" s="75"/>
      <c r="D51" s="101">
        <f t="shared" ref="D51:E51" si="26">M49-D49</f>
        <v>35238.222</v>
      </c>
      <c r="E51" s="220">
        <f t="shared" si="26"/>
        <v>-1720.7205</v>
      </c>
      <c r="F51" s="95">
        <f>(E51-D51)/E51</f>
        <v>21.47875991</v>
      </c>
      <c r="G51" s="220">
        <f t="shared" ref="G51:I51" si="27">O49-G49</f>
        <v>-8494.066421</v>
      </c>
      <c r="H51" s="220">
        <f t="shared" si="27"/>
        <v>-1105.958402</v>
      </c>
      <c r="I51" s="220">
        <f t="shared" si="27"/>
        <v>14282.67323</v>
      </c>
      <c r="J51" s="10"/>
      <c r="K51" s="10"/>
      <c r="L51" s="10"/>
      <c r="M51" s="10"/>
      <c r="N51" s="10"/>
      <c r="O51" s="10"/>
      <c r="P51" s="10"/>
      <c r="Q51" s="10"/>
      <c r="R51" s="10"/>
    </row>
    <row r="52">
      <c r="A52" s="1"/>
      <c r="D52" s="76"/>
      <c r="E52" s="76"/>
      <c r="F52" s="82"/>
      <c r="G52" s="76"/>
      <c r="H52" s="76"/>
      <c r="I52" s="76"/>
      <c r="J52" s="10"/>
      <c r="K52" s="10"/>
      <c r="L52" s="10"/>
      <c r="M52" s="10"/>
      <c r="N52" s="10"/>
      <c r="O52" s="10"/>
      <c r="P52" s="10"/>
      <c r="Q52" s="10"/>
      <c r="R52" s="10"/>
    </row>
    <row r="53">
      <c r="A53" s="99" t="s">
        <v>143</v>
      </c>
      <c r="B53" s="74"/>
      <c r="C53" s="75"/>
      <c r="D53" s="76"/>
      <c r="E53" s="101">
        <f>15*D51/100</f>
        <v>5285.7333</v>
      </c>
      <c r="F53" s="82"/>
      <c r="G53" s="101">
        <f>15*D51/100</f>
        <v>5285.7333</v>
      </c>
      <c r="H53" s="101">
        <f>15*D51/100</f>
        <v>5285.7333</v>
      </c>
      <c r="I53" s="101">
        <f>15*D51/100</f>
        <v>5285.7333</v>
      </c>
      <c r="J53" s="10"/>
      <c r="K53" s="10"/>
      <c r="L53" s="10"/>
      <c r="M53" s="10"/>
      <c r="N53" s="10"/>
      <c r="O53" s="10"/>
      <c r="P53" s="10"/>
      <c r="Q53" s="10"/>
      <c r="R53" s="10"/>
    </row>
    <row r="54">
      <c r="A54" s="227" t="s">
        <v>145</v>
      </c>
      <c r="B54" s="228"/>
      <c r="C54" s="229"/>
      <c r="D54" s="230"/>
      <c r="E54" s="230"/>
      <c r="F54" s="231"/>
      <c r="G54" s="230"/>
      <c r="H54" s="230"/>
      <c r="I54" s="230"/>
      <c r="J54" s="10"/>
      <c r="K54" s="10"/>
      <c r="L54" s="10"/>
      <c r="M54" s="10"/>
      <c r="N54" s="10"/>
      <c r="O54" s="10"/>
      <c r="P54" s="10"/>
      <c r="Q54" s="10"/>
      <c r="R54" s="10"/>
    </row>
    <row r="55">
      <c r="A55" s="233" t="s">
        <v>146</v>
      </c>
      <c r="B55" s="9"/>
      <c r="C55" s="235"/>
      <c r="D55" s="236">
        <f t="shared" ref="D55:E55" si="28">D51-D53</f>
        <v>35238.222</v>
      </c>
      <c r="E55" s="236">
        <f t="shared" si="28"/>
        <v>-7006.4538</v>
      </c>
      <c r="F55" s="237"/>
      <c r="G55" s="236">
        <f t="shared" ref="G55:I55" si="29">G51-G53</f>
        <v>-13779.79972</v>
      </c>
      <c r="H55" s="236">
        <f t="shared" si="29"/>
        <v>-6391.691702</v>
      </c>
      <c r="I55" s="236">
        <f t="shared" si="29"/>
        <v>8996.939927</v>
      </c>
      <c r="J55" s="10"/>
      <c r="K55" s="10"/>
      <c r="L55" s="10"/>
      <c r="M55" s="10"/>
      <c r="N55" s="10"/>
      <c r="O55" s="10"/>
      <c r="P55" s="10"/>
      <c r="Q55" s="10"/>
      <c r="R55" s="10"/>
    </row>
    <row r="56">
      <c r="A56" s="240"/>
      <c r="B56" s="242"/>
      <c r="C56" s="243"/>
      <c r="D56" s="31"/>
      <c r="E56" s="31"/>
      <c r="F56" s="31"/>
      <c r="G56" s="31"/>
      <c r="H56" s="31"/>
      <c r="I56" s="31"/>
      <c r="J56" s="10"/>
      <c r="K56" s="10"/>
      <c r="L56" s="10"/>
      <c r="M56" s="10"/>
      <c r="N56" s="10"/>
      <c r="O56" s="10"/>
      <c r="P56" s="10"/>
      <c r="Q56" s="10"/>
      <c r="R56" s="10"/>
    </row>
    <row r="57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>
      <c r="A58" s="152" t="s">
        <v>149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>
      <c r="A60" s="194" t="s">
        <v>150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</row>
    <row r="61">
      <c r="A61" s="194" t="s">
        <v>151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</sheetData>
  <mergeCells count="91">
    <mergeCell ref="A25:C25"/>
    <mergeCell ref="A19:C19"/>
    <mergeCell ref="A20:C20"/>
    <mergeCell ref="A21:C21"/>
    <mergeCell ref="A22:C22"/>
    <mergeCell ref="A23:C23"/>
    <mergeCell ref="A24:C24"/>
    <mergeCell ref="J11:L11"/>
    <mergeCell ref="J12:L12"/>
    <mergeCell ref="A31:C31"/>
    <mergeCell ref="A29:C29"/>
    <mergeCell ref="J5:L6"/>
    <mergeCell ref="J13:L13"/>
    <mergeCell ref="J10:L10"/>
    <mergeCell ref="A10:C10"/>
    <mergeCell ref="A26:C26"/>
    <mergeCell ref="E55:E56"/>
    <mergeCell ref="D55:D56"/>
    <mergeCell ref="A53:C53"/>
    <mergeCell ref="A54:C54"/>
    <mergeCell ref="A49:C49"/>
    <mergeCell ref="A50:C50"/>
    <mergeCell ref="G55:G56"/>
    <mergeCell ref="F55:F56"/>
    <mergeCell ref="H55:H56"/>
    <mergeCell ref="I55:I56"/>
    <mergeCell ref="A55:C56"/>
    <mergeCell ref="A44:C44"/>
    <mergeCell ref="J45:L45"/>
    <mergeCell ref="J46:L46"/>
    <mergeCell ref="J44:L44"/>
    <mergeCell ref="J47:L47"/>
    <mergeCell ref="J48:L48"/>
    <mergeCell ref="A48:C48"/>
    <mergeCell ref="A45:C45"/>
    <mergeCell ref="A35:C35"/>
    <mergeCell ref="A34:C34"/>
    <mergeCell ref="A28:C28"/>
    <mergeCell ref="A27:C27"/>
    <mergeCell ref="A11:C11"/>
    <mergeCell ref="A17:C17"/>
    <mergeCell ref="A14:C14"/>
    <mergeCell ref="A12:C12"/>
    <mergeCell ref="A13:C13"/>
    <mergeCell ref="A16:C16"/>
    <mergeCell ref="J14:L14"/>
    <mergeCell ref="J16:L16"/>
    <mergeCell ref="A43:C43"/>
    <mergeCell ref="A42:C42"/>
    <mergeCell ref="J40:L40"/>
    <mergeCell ref="J41:L41"/>
    <mergeCell ref="J38:L38"/>
    <mergeCell ref="A38:C38"/>
    <mergeCell ref="A37:C37"/>
    <mergeCell ref="A52:C52"/>
    <mergeCell ref="A51:C51"/>
    <mergeCell ref="A32:C32"/>
    <mergeCell ref="A33:C33"/>
    <mergeCell ref="A39:C39"/>
    <mergeCell ref="A40:C40"/>
    <mergeCell ref="A41:C41"/>
    <mergeCell ref="A36:C36"/>
    <mergeCell ref="J7:L8"/>
    <mergeCell ref="H7:H8"/>
    <mergeCell ref="J9:L9"/>
    <mergeCell ref="A1:Q3"/>
    <mergeCell ref="Q7:Q8"/>
    <mergeCell ref="P7:P8"/>
    <mergeCell ref="D7:D8"/>
    <mergeCell ref="F5:F6"/>
    <mergeCell ref="E7:E8"/>
    <mergeCell ref="I5:I6"/>
    <mergeCell ref="I7:I8"/>
    <mergeCell ref="G5:G6"/>
    <mergeCell ref="H5:H6"/>
    <mergeCell ref="M7:M8"/>
    <mergeCell ref="N7:N8"/>
    <mergeCell ref="R7:R8"/>
    <mergeCell ref="O7:O8"/>
    <mergeCell ref="A9:C9"/>
    <mergeCell ref="A7:C8"/>
    <mergeCell ref="F7:F8"/>
    <mergeCell ref="G7:G8"/>
    <mergeCell ref="Q5:Q6"/>
    <mergeCell ref="M5:M6"/>
    <mergeCell ref="N5:N6"/>
    <mergeCell ref="R5:R6"/>
    <mergeCell ref="P5:P6"/>
    <mergeCell ref="O5:O6"/>
    <mergeCell ref="D5:D6"/>
    <mergeCell ref="E5:E6"/>
  </mergeCell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1.22" defaultRowHeight="15.0"/>
  <cols>
    <col customWidth="1" min="1" max="1" width="13.44"/>
    <col customWidth="1" min="2" max="3" width="0.33"/>
    <col customWidth="1" min="4" max="4" width="34.22"/>
    <col customWidth="1" min="5" max="6" width="10.44"/>
    <col customWidth="1" min="7" max="7" width="11.22"/>
    <col customWidth="1" min="8" max="11" width="10.44"/>
    <col customWidth="1" min="12" max="12" width="11.89"/>
    <col customWidth="1" min="13" max="13" width="11.22"/>
    <col customWidth="1" min="14" max="15" width="11.67"/>
    <col customWidth="1" min="16" max="16" width="11.89"/>
    <col customWidth="1" min="17" max="38" width="13.44"/>
  </cols>
  <sheetData>
    <row r="1">
      <c r="A1" s="194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6"/>
      <c r="Q1" s="198" t="s">
        <v>137</v>
      </c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194"/>
      <c r="AD1" s="194"/>
      <c r="AE1" s="194"/>
      <c r="AF1" s="194"/>
      <c r="AG1" s="194"/>
      <c r="AH1" s="194"/>
      <c r="AI1" s="194"/>
      <c r="AJ1" s="194"/>
      <c r="AK1" s="194"/>
      <c r="AL1" s="194"/>
    </row>
    <row r="2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6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</row>
    <row r="3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6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194"/>
      <c r="AD3" s="194"/>
      <c r="AE3" s="194"/>
      <c r="AF3" s="194"/>
      <c r="AG3" s="194"/>
      <c r="AH3" s="194"/>
      <c r="AI3" s="194"/>
      <c r="AJ3" s="194"/>
      <c r="AK3" s="194"/>
      <c r="AL3" s="194"/>
    </row>
    <row r="4">
      <c r="A4" s="194"/>
      <c r="B4" s="194"/>
      <c r="C4" s="194"/>
      <c r="D4" s="203"/>
      <c r="E4" s="205">
        <v>42370.0</v>
      </c>
      <c r="F4" s="205">
        <v>42401.0</v>
      </c>
      <c r="G4" s="205">
        <v>42430.0</v>
      </c>
      <c r="H4" s="205">
        <v>42461.0</v>
      </c>
      <c r="I4" s="205">
        <v>42491.0</v>
      </c>
      <c r="J4" s="205">
        <v>42522.0</v>
      </c>
      <c r="K4" s="205">
        <v>42552.0</v>
      </c>
      <c r="L4" s="205">
        <v>42583.0</v>
      </c>
      <c r="M4" s="205">
        <v>42614.0</v>
      </c>
      <c r="N4" s="205">
        <v>42644.0</v>
      </c>
      <c r="O4" s="205">
        <v>42675.0</v>
      </c>
      <c r="P4" s="207">
        <v>42705.0</v>
      </c>
      <c r="Q4" s="205">
        <v>42736.0</v>
      </c>
      <c r="R4" s="205">
        <v>42767.0</v>
      </c>
      <c r="S4" s="205">
        <v>42795.0</v>
      </c>
      <c r="T4" s="205">
        <v>42826.0</v>
      </c>
      <c r="U4" s="205">
        <v>42856.0</v>
      </c>
      <c r="V4" s="205">
        <v>42887.0</v>
      </c>
      <c r="W4" s="205">
        <v>42917.0</v>
      </c>
      <c r="X4" s="205">
        <v>42948.0</v>
      </c>
      <c r="Y4" s="205">
        <v>42979.0</v>
      </c>
      <c r="Z4" s="205">
        <v>43009.0</v>
      </c>
      <c r="AA4" s="205">
        <v>43040.0</v>
      </c>
      <c r="AB4" s="205">
        <v>43070.0</v>
      </c>
      <c r="AC4" s="194"/>
      <c r="AD4" s="194"/>
      <c r="AE4" s="194"/>
      <c r="AF4" s="194"/>
      <c r="AG4" s="194"/>
      <c r="AH4" s="194"/>
      <c r="AI4" s="194"/>
      <c r="AJ4" s="194"/>
      <c r="AK4" s="194"/>
      <c r="AL4" s="194"/>
    </row>
    <row r="5">
      <c r="A5" s="194"/>
      <c r="B5" s="194"/>
      <c r="C5" s="194"/>
      <c r="D5" s="211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213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194"/>
      <c r="AD5" s="194"/>
      <c r="AE5" s="194"/>
      <c r="AF5" s="194"/>
      <c r="AG5" s="194"/>
      <c r="AH5" s="194"/>
      <c r="AI5" s="194"/>
      <c r="AJ5" s="194"/>
      <c r="AK5" s="194"/>
      <c r="AL5" s="194"/>
    </row>
    <row r="6">
      <c r="A6" s="194"/>
      <c r="B6" s="194"/>
      <c r="C6" s="203"/>
      <c r="D6" s="214" t="s">
        <v>139</v>
      </c>
      <c r="E6" s="216">
        <v>2200.0</v>
      </c>
      <c r="F6" s="218">
        <f t="shared" ref="F6:AB6" si="1">E63</f>
        <v>2942.19</v>
      </c>
      <c r="G6" s="218">
        <f t="shared" si="1"/>
        <v>3747.38</v>
      </c>
      <c r="H6" s="218">
        <f t="shared" si="1"/>
        <v>4982.64</v>
      </c>
      <c r="I6" s="218">
        <f t="shared" si="1"/>
        <v>5495.96</v>
      </c>
      <c r="J6" s="218">
        <f t="shared" si="1"/>
        <v>5959.01</v>
      </c>
      <c r="K6" s="218">
        <f t="shared" si="1"/>
        <v>5939.41</v>
      </c>
      <c r="L6" s="218">
        <f t="shared" si="1"/>
        <v>5477.35</v>
      </c>
      <c r="M6" s="218">
        <f t="shared" si="1"/>
        <v>4128.03</v>
      </c>
      <c r="N6" s="218">
        <f t="shared" si="1"/>
        <v>8177.7</v>
      </c>
      <c r="O6" s="218">
        <f t="shared" si="1"/>
        <v>10637.02</v>
      </c>
      <c r="P6" s="219">
        <f t="shared" si="1"/>
        <v>12741.38</v>
      </c>
      <c r="Q6" s="218">
        <f t="shared" si="1"/>
        <v>4113.22</v>
      </c>
      <c r="R6" s="218">
        <f t="shared" si="1"/>
        <v>22589.85927</v>
      </c>
      <c r="S6" s="218">
        <f t="shared" si="1"/>
        <v>19464.68854</v>
      </c>
      <c r="T6" s="218">
        <f t="shared" si="1"/>
        <v>18095.35781</v>
      </c>
      <c r="U6" s="218">
        <f t="shared" si="1"/>
        <v>26339.52708</v>
      </c>
      <c r="V6" s="218">
        <f t="shared" si="1"/>
        <v>24863.19634</v>
      </c>
      <c r="W6" s="218">
        <f t="shared" si="1"/>
        <v>24653.76561</v>
      </c>
      <c r="X6" s="218">
        <f t="shared" si="1"/>
        <v>21409.43488</v>
      </c>
      <c r="Y6" s="218">
        <f t="shared" si="1"/>
        <v>18178.10415</v>
      </c>
      <c r="Z6" s="218">
        <f t="shared" si="1"/>
        <v>18349.16569</v>
      </c>
      <c r="AA6" s="218">
        <f t="shared" si="1"/>
        <v>17128.33496</v>
      </c>
      <c r="AB6" s="221">
        <f t="shared" si="1"/>
        <v>15599.3965</v>
      </c>
      <c r="AC6" s="194"/>
      <c r="AD6" s="194"/>
      <c r="AE6" s="194"/>
      <c r="AF6" s="194"/>
      <c r="AG6" s="194"/>
      <c r="AH6" s="194"/>
      <c r="AI6" s="194"/>
      <c r="AJ6" s="194"/>
      <c r="AK6" s="194"/>
      <c r="AL6" s="194"/>
    </row>
    <row r="7">
      <c r="A7" s="194"/>
      <c r="B7" s="194"/>
      <c r="C7" s="203"/>
      <c r="D7" s="222" t="s">
        <v>141</v>
      </c>
      <c r="E7" s="223"/>
      <c r="Q7" s="223"/>
      <c r="AC7" s="194"/>
      <c r="AD7" s="194"/>
      <c r="AE7" s="194"/>
      <c r="AF7" s="194"/>
      <c r="AG7" s="194"/>
      <c r="AH7" s="194"/>
      <c r="AI7" s="194"/>
      <c r="AJ7" s="194"/>
      <c r="AK7" s="194"/>
      <c r="AL7" s="194"/>
    </row>
    <row r="8">
      <c r="A8" s="194"/>
      <c r="B8" s="194"/>
      <c r="C8" s="203"/>
      <c r="D8" s="224" t="s">
        <v>142</v>
      </c>
      <c r="AC8" s="194"/>
      <c r="AD8" s="194"/>
      <c r="AE8" s="194"/>
      <c r="AF8" s="194"/>
      <c r="AG8" s="194"/>
      <c r="AH8" s="194"/>
      <c r="AI8" s="194"/>
      <c r="AJ8" s="194"/>
      <c r="AK8" s="194"/>
      <c r="AL8" s="194"/>
    </row>
    <row r="9">
      <c r="A9" s="194"/>
      <c r="B9" s="194"/>
      <c r="C9" s="203"/>
      <c r="D9" s="225" t="s">
        <v>144</v>
      </c>
      <c r="E9" s="226">
        <f>'Prévisionnel 2017 SCN2'!F5</f>
        <v>2608.48</v>
      </c>
      <c r="F9" s="226">
        <f>'Prévisionnel 2017 SCN2'!G5</f>
        <v>2513.98</v>
      </c>
      <c r="G9" s="226">
        <f>'Prévisionnel 2017 SCN2'!H5</f>
        <v>3156.25</v>
      </c>
      <c r="H9" s="226">
        <f>'Prévisionnel 2017 SCN2'!I5</f>
        <v>3298.36</v>
      </c>
      <c r="I9" s="226">
        <f>'Prévisionnel 2017 SCN2'!J5</f>
        <v>3691.36</v>
      </c>
      <c r="J9" s="226">
        <f>'Prévisionnel 2017 SCN2'!K5</f>
        <v>4474.97</v>
      </c>
      <c r="K9" s="226">
        <f>'Prévisionnel 2017 SCN2'!L5</f>
        <v>2165.35</v>
      </c>
      <c r="L9" s="226">
        <f>'Prévisionnel 2017 SCN2'!M5</f>
        <v>2912.29</v>
      </c>
      <c r="M9" s="226">
        <f>'Prévisionnel 2017 SCN2'!N5</f>
        <v>5720.98</v>
      </c>
      <c r="N9" s="226">
        <f>'Prévisionnel 2017 SCN2'!O5</f>
        <v>5947.19</v>
      </c>
      <c r="O9" s="226">
        <f>'Prévisionnel 2017 SCN2'!P5</f>
        <v>8590.02</v>
      </c>
      <c r="P9" s="232">
        <f>'Prévisionnel 2017 SCN2'!Q5</f>
        <v>11401.95</v>
      </c>
      <c r="Q9" s="234">
        <f>'Prévisionnel 2017 SCN3'!F49</f>
        <v>9467.85</v>
      </c>
      <c r="R9" s="234">
        <f>'Prévisionnel 2017 SCN3'!G49</f>
        <v>16000</v>
      </c>
      <c r="S9" s="234">
        <f>'Prévisionnel 2017 SCN3'!H49</f>
        <v>16000</v>
      </c>
      <c r="T9" s="234">
        <f>'Prévisionnel 2017 SCN3'!I49</f>
        <v>16000</v>
      </c>
      <c r="U9" s="234">
        <f>'Prévisionnel 2017 SCN3'!J49</f>
        <v>16000</v>
      </c>
      <c r="V9" s="234">
        <f>'Prévisionnel 2017 SCN3'!K49</f>
        <v>16000</v>
      </c>
      <c r="W9" s="234">
        <f>'Prévisionnel 2017 SCN3'!L49</f>
        <v>8000</v>
      </c>
      <c r="X9" s="234">
        <f>'Prévisionnel 2017 SCN3'!M49</f>
        <v>8000</v>
      </c>
      <c r="Y9" s="234">
        <f>'Prévisionnel 2017 SCN3'!N49</f>
        <v>16000</v>
      </c>
      <c r="Z9" s="234">
        <f>'Prévisionnel 2017 SCN3'!O49</f>
        <v>16000</v>
      </c>
      <c r="AA9" s="234">
        <f>'Prévisionnel 2017 SCN3'!P49</f>
        <v>16000</v>
      </c>
      <c r="AB9" s="234">
        <f>'Prévisionnel 2017 SCN3'!Q49</f>
        <v>16000</v>
      </c>
      <c r="AC9" s="194"/>
      <c r="AD9" s="194"/>
      <c r="AE9" s="194"/>
      <c r="AF9" s="194"/>
      <c r="AG9" s="194"/>
      <c r="AH9" s="194"/>
      <c r="AI9" s="194"/>
      <c r="AJ9" s="194"/>
      <c r="AK9" s="194"/>
      <c r="AL9" s="194"/>
    </row>
    <row r="10">
      <c r="A10" s="194"/>
      <c r="B10" s="194"/>
      <c r="C10" s="203"/>
      <c r="D10" s="238" t="s">
        <v>147</v>
      </c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32"/>
      <c r="Q10" s="14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</row>
    <row r="11">
      <c r="A11" s="194"/>
      <c r="B11" s="194"/>
      <c r="C11" s="203"/>
      <c r="D11" s="241" t="s">
        <v>148</v>
      </c>
      <c r="E11" s="226">
        <f t="shared" ref="E11:AB11" si="2">SUM(E9:E10)</f>
        <v>2608.48</v>
      </c>
      <c r="F11" s="226">
        <f t="shared" si="2"/>
        <v>2513.98</v>
      </c>
      <c r="G11" s="226">
        <f t="shared" si="2"/>
        <v>3156.25</v>
      </c>
      <c r="H11" s="226">
        <f t="shared" si="2"/>
        <v>3298.36</v>
      </c>
      <c r="I11" s="226">
        <f t="shared" si="2"/>
        <v>3691.36</v>
      </c>
      <c r="J11" s="226">
        <f t="shared" si="2"/>
        <v>4474.97</v>
      </c>
      <c r="K11" s="226">
        <f t="shared" si="2"/>
        <v>2165.35</v>
      </c>
      <c r="L11" s="226">
        <f t="shared" si="2"/>
        <v>2912.29</v>
      </c>
      <c r="M11" s="226">
        <f t="shared" si="2"/>
        <v>5720.98</v>
      </c>
      <c r="N11" s="226">
        <f t="shared" si="2"/>
        <v>5947.19</v>
      </c>
      <c r="O11" s="226">
        <f t="shared" si="2"/>
        <v>8590.02</v>
      </c>
      <c r="P11" s="232">
        <f t="shared" si="2"/>
        <v>11401.95</v>
      </c>
      <c r="Q11" s="244">
        <f t="shared" si="2"/>
        <v>9467.85</v>
      </c>
      <c r="R11" s="245">
        <f t="shared" si="2"/>
        <v>16000</v>
      </c>
      <c r="S11" s="245">
        <f t="shared" si="2"/>
        <v>16000</v>
      </c>
      <c r="T11" s="245">
        <f t="shared" si="2"/>
        <v>16000</v>
      </c>
      <c r="U11" s="245">
        <f t="shared" si="2"/>
        <v>16000</v>
      </c>
      <c r="V11" s="245">
        <f t="shared" si="2"/>
        <v>16000</v>
      </c>
      <c r="W11" s="245">
        <f t="shared" si="2"/>
        <v>8000</v>
      </c>
      <c r="X11" s="245">
        <f t="shared" si="2"/>
        <v>8000</v>
      </c>
      <c r="Y11" s="245">
        <f t="shared" si="2"/>
        <v>16000</v>
      </c>
      <c r="Z11" s="245">
        <f t="shared" si="2"/>
        <v>16000</v>
      </c>
      <c r="AA11" s="245">
        <f t="shared" si="2"/>
        <v>16000</v>
      </c>
      <c r="AB11" s="245">
        <f t="shared" si="2"/>
        <v>16000</v>
      </c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</row>
    <row r="12">
      <c r="A12" s="194"/>
      <c r="B12" s="194"/>
      <c r="C12" s="203"/>
      <c r="D12" s="224" t="s">
        <v>152</v>
      </c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7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8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</row>
    <row r="13">
      <c r="A13" s="194"/>
      <c r="B13" s="194"/>
      <c r="C13" s="203"/>
      <c r="D13" s="225" t="s">
        <v>153</v>
      </c>
      <c r="E13" s="226"/>
      <c r="F13" s="226"/>
      <c r="G13" s="226"/>
      <c r="H13" s="226"/>
      <c r="I13" s="226"/>
      <c r="J13" s="226"/>
      <c r="K13" s="226"/>
      <c r="L13" s="226"/>
      <c r="M13" s="226">
        <f>'Prévisionnel 2017 SCN2'!N8</f>
        <v>2400</v>
      </c>
      <c r="N13" s="226">
        <f>'Prévisionnel 2017 SCN2'!O8</f>
        <v>2639.9</v>
      </c>
      <c r="O13" s="226">
        <f>'Prévisionnel 2017 SCN2'!P8</f>
        <v>1319.95</v>
      </c>
      <c r="P13" s="232">
        <f>'Prévisionnel 2017 SCN2'!Q8</f>
        <v>1319.95</v>
      </c>
      <c r="Q13" s="234">
        <f>'Prévisionnel 2017 SCN4'!F52</f>
        <v>1332.24</v>
      </c>
      <c r="R13" s="195">
        <f>'Prévisionnel 2017 SCN4'!G52</f>
        <v>1332.24</v>
      </c>
      <c r="S13" s="195">
        <f>'Prévisionnel 2017 SCN4'!H52</f>
        <v>2664.48</v>
      </c>
      <c r="T13" s="195">
        <f>'Prévisionnel 2017 SCN4'!I52</f>
        <v>2664.48</v>
      </c>
      <c r="U13" s="195">
        <f>'Prévisionnel 2017 SCN4'!J52</f>
        <v>2664.48</v>
      </c>
      <c r="V13" s="195">
        <f>'Prévisionnel 2017 SCN4'!K52</f>
        <v>2664.48</v>
      </c>
      <c r="W13" s="195">
        <f>'Prévisionnel 2017 SCN4'!L52</f>
        <v>2664.48</v>
      </c>
      <c r="X13" s="195">
        <f>'Prévisionnel 2017 SCN4'!M52</f>
        <v>2664.48</v>
      </c>
      <c r="Y13" s="195">
        <f>'Prévisionnel 2017 SCN4'!N52</f>
        <v>2664.48</v>
      </c>
      <c r="Z13" s="195">
        <f>'Prévisionnel 2017 SCN4'!O52</f>
        <v>2664.48</v>
      </c>
      <c r="AA13" s="195">
        <f>'Prévisionnel 2017 SCN4'!P52</f>
        <v>2664.48</v>
      </c>
      <c r="AB13" s="195">
        <f>'Prévisionnel 2017 SCN4'!Q52</f>
        <v>2664.48</v>
      </c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</row>
    <row r="14">
      <c r="A14" s="194"/>
      <c r="B14" s="194"/>
      <c r="C14" s="203"/>
      <c r="D14" s="225" t="s">
        <v>80</v>
      </c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32"/>
      <c r="Q14" s="234" t="str">
        <f>'Prévisionnel 2017 SCN4'!F53</f>
        <v/>
      </c>
      <c r="R14" s="234" t="str">
        <f>'Prévisionnel 2017 SCN4'!G53</f>
        <v/>
      </c>
      <c r="S14" s="234">
        <f>'Prévisionnel 2017 SCN4'!H53</f>
        <v>5000</v>
      </c>
      <c r="T14" s="234">
        <f>'Prévisionnel 2017 SCN4'!I53</f>
        <v>15000</v>
      </c>
      <c r="U14" s="234" t="str">
        <f>'Prévisionnel 2017 SCN4'!J53</f>
        <v/>
      </c>
      <c r="V14" s="234" t="str">
        <f>'Prévisionnel 2017 SCN4'!K53</f>
        <v/>
      </c>
      <c r="W14" s="234" t="str">
        <f>'Prévisionnel 2017 SCN4'!L53</f>
        <v/>
      </c>
      <c r="X14" s="234" t="str">
        <f>'Prévisionnel 2017 SCN4'!M53</f>
        <v/>
      </c>
      <c r="Y14" s="234" t="str">
        <f>'Prévisionnel 2017 SCN4'!N53</f>
        <v/>
      </c>
      <c r="Z14" s="234" t="str">
        <f>'Prévisionnel 2017 SCN4'!O53</f>
        <v/>
      </c>
      <c r="AA14" s="234" t="str">
        <f>'Prévisionnel 2017 SCN4'!P53</f>
        <v/>
      </c>
      <c r="AB14" s="234">
        <f>'Prévisionnel 2017 SCN4'!Q53</f>
        <v>15000</v>
      </c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</row>
    <row r="15">
      <c r="A15" s="194"/>
      <c r="B15" s="194"/>
      <c r="C15" s="203"/>
      <c r="D15" s="249" t="s">
        <v>154</v>
      </c>
      <c r="E15" s="226">
        <f>'Prévisionnel 2017 SCN2'!F7</f>
        <v>0</v>
      </c>
      <c r="F15" s="226">
        <f>'Prévisionnel 2017 SCN2'!G7</f>
        <v>45</v>
      </c>
      <c r="G15" s="226">
        <f>'Prévisionnel 2017 SCN2'!H7</f>
        <v>40</v>
      </c>
      <c r="H15" s="226">
        <f>'Prévisionnel 2017 SCN2'!I7</f>
        <v>90</v>
      </c>
      <c r="I15" s="226">
        <f>'Prévisionnel 2017 SCN2'!J7</f>
        <v>50</v>
      </c>
      <c r="J15" s="226">
        <f>'Prévisionnel 2017 SCN2'!K7</f>
        <v>45</v>
      </c>
      <c r="K15" s="226">
        <f>'Prévisionnel 2017 SCN2'!L7</f>
        <v>0</v>
      </c>
      <c r="L15" s="226">
        <f>'Prévisionnel 2017 SCN2'!M7</f>
        <v>20</v>
      </c>
      <c r="M15" s="226">
        <f>'Prévisionnel 2017 SCN2'!N7</f>
        <v>105</v>
      </c>
      <c r="N15" s="226">
        <f>'Prévisionnel 2017 SCN2'!O7</f>
        <v>25</v>
      </c>
      <c r="O15" s="226">
        <f>'Prévisionnel 2017 SCN2'!P7</f>
        <v>185</v>
      </c>
      <c r="P15" s="232">
        <f>'Prévisionnel 2017 SCN2'!Q7</f>
        <v>30</v>
      </c>
      <c r="Q15" s="250">
        <f>'Prévisionnel 2017 SCN4'!F51</f>
        <v>23178</v>
      </c>
      <c r="R15" s="251">
        <f>'Prévisionnel 2017 SCN4'!G51</f>
        <v>65</v>
      </c>
      <c r="S15" s="251">
        <f>'Prévisionnel 2017 SCN4'!H51</f>
        <v>65</v>
      </c>
      <c r="T15" s="251">
        <f>'Prévisionnel 2017 SCN4'!I51</f>
        <v>65</v>
      </c>
      <c r="U15" s="251">
        <f>'Prévisionnel 2017 SCN4'!J51</f>
        <v>65</v>
      </c>
      <c r="V15" s="251">
        <f>'Prévisionnel 2017 SCN4'!K51</f>
        <v>65</v>
      </c>
      <c r="W15" s="251">
        <f>'Prévisionnel 2017 SCN4'!L51</f>
        <v>65</v>
      </c>
      <c r="X15" s="251">
        <f>'Prévisionnel 2017 SCN4'!M51</f>
        <v>65</v>
      </c>
      <c r="Y15" s="251">
        <f>'Prévisionnel 2017 SCN4'!N51</f>
        <v>65</v>
      </c>
      <c r="Z15" s="251">
        <f>'Prévisionnel 2017 SCN4'!O51</f>
        <v>65</v>
      </c>
      <c r="AA15" s="251">
        <f>'Prévisionnel 2017 SCN4'!P51</f>
        <v>65</v>
      </c>
      <c r="AB15" s="251">
        <f>'Prévisionnel 2017 SCN4'!Q51</f>
        <v>65</v>
      </c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</row>
    <row r="16">
      <c r="A16" s="194"/>
      <c r="B16" s="194"/>
      <c r="C16" s="203"/>
      <c r="D16" s="249" t="s">
        <v>24</v>
      </c>
      <c r="E16" s="226">
        <f>'Prévisionnel 2017 SCN2'!F6</f>
        <v>260</v>
      </c>
      <c r="F16" s="226">
        <f>'Prévisionnel 2017 SCN2'!G6</f>
        <v>940</v>
      </c>
      <c r="G16" s="226">
        <f>'Prévisionnel 2017 SCN2'!H6</f>
        <v>805</v>
      </c>
      <c r="H16" s="226">
        <f>'Prévisionnel 2017 SCN2'!I6</f>
        <v>735</v>
      </c>
      <c r="I16" s="226">
        <f>'Prévisionnel 2017 SCN2'!J6</f>
        <v>415</v>
      </c>
      <c r="J16" s="226">
        <f>'Prévisionnel 2017 SCN2'!K6</f>
        <v>435</v>
      </c>
      <c r="K16" s="226">
        <f>'Prévisionnel 2017 SCN2'!L6</f>
        <v>205</v>
      </c>
      <c r="L16" s="226">
        <f>'Prévisionnel 2017 SCN2'!M6</f>
        <v>235</v>
      </c>
      <c r="M16" s="226">
        <f>'Prévisionnel 2017 SCN2'!N6</f>
        <v>1115</v>
      </c>
      <c r="N16" s="226">
        <f>'Prévisionnel 2017 SCN2'!O6</f>
        <v>1580</v>
      </c>
      <c r="O16" s="226">
        <f>'Prévisionnel 2017 SCN2'!P6</f>
        <v>3210</v>
      </c>
      <c r="P16" s="232">
        <f>'Prévisionnel 2017 SCN2'!Q6</f>
        <v>1445</v>
      </c>
      <c r="Q16" s="234">
        <f>'Prévisionnel 2017 SCN4'!F50</f>
        <v>2510</v>
      </c>
      <c r="R16" s="195">
        <f>'Prévisionnel 2017 SCN4'!G50</f>
        <v>500.1</v>
      </c>
      <c r="S16" s="195">
        <f>'Prévisionnel 2017 SCN4'!H50</f>
        <v>500.1</v>
      </c>
      <c r="T16" s="195">
        <f>'Prévisionnel 2017 SCN4'!I50</f>
        <v>1903.6</v>
      </c>
      <c r="U16" s="195">
        <f>'Prévisionnel 2017 SCN4'!J50</f>
        <v>500.1</v>
      </c>
      <c r="V16" s="195">
        <f>'Prévisionnel 2017 SCN4'!K50</f>
        <v>400</v>
      </c>
      <c r="W16" s="195">
        <f>'Prévisionnel 2017 SCN4'!L50</f>
        <v>500.1</v>
      </c>
      <c r="X16" s="195">
        <f>'Prévisionnel 2017 SCN4'!M50</f>
        <v>500.1</v>
      </c>
      <c r="Y16" s="195">
        <f>'Prévisionnel 2017 SCN4'!N50</f>
        <v>500.1</v>
      </c>
      <c r="Z16" s="195">
        <f>'Prévisionnel 2017 SCN4'!O50</f>
        <v>1588.6</v>
      </c>
      <c r="AA16" s="195">
        <f>'Prévisionnel 2017 SCN4'!P50</f>
        <v>500.1</v>
      </c>
      <c r="AB16" s="195">
        <f>'Prévisionnel 2017 SCN4'!Q50</f>
        <v>500.1</v>
      </c>
      <c r="AC16" s="41"/>
      <c r="AD16" s="41"/>
      <c r="AE16" s="41"/>
      <c r="AF16" s="41"/>
      <c r="AG16" s="41"/>
      <c r="AH16" s="41"/>
      <c r="AI16" s="41"/>
      <c r="AJ16" s="41"/>
      <c r="AK16" s="41"/>
      <c r="AL16" s="194"/>
    </row>
    <row r="17">
      <c r="A17" s="194"/>
      <c r="B17" s="194"/>
      <c r="C17" s="203"/>
      <c r="D17" s="253" t="s">
        <v>156</v>
      </c>
      <c r="E17" s="254">
        <f t="shared" ref="E17:AB17" si="3">SUM(E13:E16)</f>
        <v>260</v>
      </c>
      <c r="F17" s="254">
        <f t="shared" si="3"/>
        <v>985</v>
      </c>
      <c r="G17" s="254">
        <f t="shared" si="3"/>
        <v>845</v>
      </c>
      <c r="H17" s="254">
        <f t="shared" si="3"/>
        <v>825</v>
      </c>
      <c r="I17" s="254">
        <f t="shared" si="3"/>
        <v>465</v>
      </c>
      <c r="J17" s="254">
        <f t="shared" si="3"/>
        <v>480</v>
      </c>
      <c r="K17" s="254">
        <f t="shared" si="3"/>
        <v>205</v>
      </c>
      <c r="L17" s="254">
        <f t="shared" si="3"/>
        <v>255</v>
      </c>
      <c r="M17" s="254">
        <f t="shared" si="3"/>
        <v>3620</v>
      </c>
      <c r="N17" s="254">
        <f t="shared" si="3"/>
        <v>4244.9</v>
      </c>
      <c r="O17" s="254">
        <f t="shared" si="3"/>
        <v>4714.95</v>
      </c>
      <c r="P17" s="255">
        <f t="shared" si="3"/>
        <v>2794.95</v>
      </c>
      <c r="Q17" s="234">
        <f t="shared" si="3"/>
        <v>27020.24</v>
      </c>
      <c r="R17" s="195">
        <f t="shared" si="3"/>
        <v>1897.34</v>
      </c>
      <c r="S17" s="195">
        <f t="shared" si="3"/>
        <v>8229.58</v>
      </c>
      <c r="T17" s="195">
        <f t="shared" si="3"/>
        <v>19633.08</v>
      </c>
      <c r="U17" s="195">
        <f t="shared" si="3"/>
        <v>3229.58</v>
      </c>
      <c r="V17" s="195">
        <f t="shared" si="3"/>
        <v>3129.48</v>
      </c>
      <c r="W17" s="195">
        <f t="shared" si="3"/>
        <v>3229.58</v>
      </c>
      <c r="X17" s="195">
        <f t="shared" si="3"/>
        <v>3229.58</v>
      </c>
      <c r="Y17" s="195">
        <f t="shared" si="3"/>
        <v>3229.58</v>
      </c>
      <c r="Z17" s="195">
        <f t="shared" si="3"/>
        <v>4318.08</v>
      </c>
      <c r="AA17" s="195">
        <f t="shared" si="3"/>
        <v>3229.58</v>
      </c>
      <c r="AB17" s="195">
        <f t="shared" si="3"/>
        <v>18229.58</v>
      </c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</row>
    <row r="18">
      <c r="A18" s="194"/>
      <c r="B18" s="194"/>
      <c r="C18" s="203"/>
      <c r="D18" s="256" t="s">
        <v>157</v>
      </c>
      <c r="E18" s="257">
        <f t="shared" ref="E18:AB18" si="4">E11+E17</f>
        <v>2868.48</v>
      </c>
      <c r="F18" s="257">
        <f t="shared" si="4"/>
        <v>3498.98</v>
      </c>
      <c r="G18" s="257">
        <f t="shared" si="4"/>
        <v>4001.25</v>
      </c>
      <c r="H18" s="257">
        <f t="shared" si="4"/>
        <v>4123.36</v>
      </c>
      <c r="I18" s="257">
        <f t="shared" si="4"/>
        <v>4156.36</v>
      </c>
      <c r="J18" s="257">
        <f t="shared" si="4"/>
        <v>4954.97</v>
      </c>
      <c r="K18" s="257">
        <f t="shared" si="4"/>
        <v>2370.35</v>
      </c>
      <c r="L18" s="257">
        <f t="shared" si="4"/>
        <v>3167.29</v>
      </c>
      <c r="M18" s="257">
        <f t="shared" si="4"/>
        <v>9340.98</v>
      </c>
      <c r="N18" s="257">
        <f t="shared" si="4"/>
        <v>10192.09</v>
      </c>
      <c r="O18" s="257">
        <f t="shared" si="4"/>
        <v>13304.97</v>
      </c>
      <c r="P18" s="258">
        <f t="shared" si="4"/>
        <v>14196.9</v>
      </c>
      <c r="Q18" s="257">
        <f t="shared" si="4"/>
        <v>36488.09</v>
      </c>
      <c r="R18" s="257">
        <f t="shared" si="4"/>
        <v>17897.34</v>
      </c>
      <c r="S18" s="257">
        <f t="shared" si="4"/>
        <v>24229.58</v>
      </c>
      <c r="T18" s="257">
        <f t="shared" si="4"/>
        <v>35633.08</v>
      </c>
      <c r="U18" s="257">
        <f t="shared" si="4"/>
        <v>19229.58</v>
      </c>
      <c r="V18" s="257">
        <f t="shared" si="4"/>
        <v>19129.48</v>
      </c>
      <c r="W18" s="257">
        <f t="shared" si="4"/>
        <v>11229.58</v>
      </c>
      <c r="X18" s="257">
        <f t="shared" si="4"/>
        <v>11229.58</v>
      </c>
      <c r="Y18" s="257">
        <f t="shared" si="4"/>
        <v>19229.58</v>
      </c>
      <c r="Z18" s="257">
        <f t="shared" si="4"/>
        <v>20318.08</v>
      </c>
      <c r="AA18" s="257">
        <f t="shared" si="4"/>
        <v>19229.58</v>
      </c>
      <c r="AB18" s="259">
        <f t="shared" si="4"/>
        <v>34229.58</v>
      </c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</row>
    <row r="19">
      <c r="A19" s="194"/>
      <c r="B19" s="194"/>
      <c r="C19" s="203"/>
      <c r="D19" s="260"/>
      <c r="E19" s="1"/>
      <c r="Q19" s="1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</row>
    <row r="20">
      <c r="A20" s="194"/>
      <c r="B20" s="194"/>
      <c r="C20" s="203"/>
      <c r="D20" s="214" t="s">
        <v>158</v>
      </c>
      <c r="E20" s="1"/>
      <c r="Q20" s="1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</row>
    <row r="21">
      <c r="A21" s="194"/>
      <c r="B21" s="194"/>
      <c r="C21" s="203"/>
      <c r="D21" s="224" t="s">
        <v>142</v>
      </c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</row>
    <row r="22">
      <c r="A22" s="194"/>
      <c r="B22" s="194"/>
      <c r="C22" s="203"/>
      <c r="D22" s="225" t="s">
        <v>159</v>
      </c>
      <c r="E22" s="195">
        <f>'Prévisionnel 2017 SCN2'!F19</f>
        <v>2052.17</v>
      </c>
      <c r="F22" s="195">
        <f>'Prévisionnel 2017 SCN2'!G19</f>
        <v>2632.85</v>
      </c>
      <c r="G22" s="195">
        <f>'Prévisionnel 2017 SCN2'!H19</f>
        <v>2718.69</v>
      </c>
      <c r="H22" s="195">
        <f>'Prévisionnel 2017 SCN2'!I19</f>
        <v>3501.68</v>
      </c>
      <c r="I22" s="195">
        <f>'Prévisionnel 2017 SCN2'!J19</f>
        <v>3254.84</v>
      </c>
      <c r="J22" s="195">
        <f>'Prévisionnel 2017 SCN2'!K19</f>
        <v>3496.88</v>
      </c>
      <c r="K22" s="195">
        <f>'Prévisionnel 2017 SCN2'!L19</f>
        <v>1901.82</v>
      </c>
      <c r="L22" s="195">
        <f>'Prévisionnel 2017 SCN2'!M19</f>
        <v>2222.31</v>
      </c>
      <c r="M22" s="195">
        <f>'Prévisionnel 2017 SCN2'!N19</f>
        <v>4826.15</v>
      </c>
      <c r="N22" s="195">
        <f>'Prévisionnel 2017 SCN2'!O19</f>
        <v>5957.03</v>
      </c>
      <c r="O22" s="195">
        <f>'Prévisionnel 2017 SCN2'!P19</f>
        <v>7142.99</v>
      </c>
      <c r="P22" s="261">
        <f>'Prévisionnel 2017 SCN2'!Q19</f>
        <v>10401.23</v>
      </c>
      <c r="Q22" s="262">
        <f>'Prévisionnel 2017 SCN3'!F64</f>
        <v>11870.81</v>
      </c>
      <c r="R22" s="262">
        <f>'Prévisionnel 2017 SCN3'!G64</f>
        <v>13120</v>
      </c>
      <c r="S22" s="262">
        <f>'Prévisionnel 2017 SCN3'!H64</f>
        <v>13120</v>
      </c>
      <c r="T22" s="262">
        <f>'Prévisionnel 2017 SCN3'!I64</f>
        <v>13120</v>
      </c>
      <c r="U22" s="262">
        <f>'Prévisionnel 2017 SCN3'!J64</f>
        <v>13120</v>
      </c>
      <c r="V22" s="262">
        <f>'Prévisionnel 2017 SCN3'!K64</f>
        <v>13120</v>
      </c>
      <c r="W22" s="262">
        <f>'Prévisionnel 2017 SCN3'!L64</f>
        <v>6560</v>
      </c>
      <c r="X22" s="262">
        <f>'Prévisionnel 2017 SCN3'!M64</f>
        <v>6560</v>
      </c>
      <c r="Y22" s="262">
        <f>'Prévisionnel 2017 SCN3'!N64</f>
        <v>13120</v>
      </c>
      <c r="Z22" s="262">
        <f>'Prévisionnel 2017 SCN3'!O64</f>
        <v>13120</v>
      </c>
      <c r="AA22" s="262">
        <f>'Prévisionnel 2017 SCN3'!P64</f>
        <v>13120</v>
      </c>
      <c r="AB22" s="262">
        <f>'Prévisionnel 2017 SCN3'!Q64</f>
        <v>13120</v>
      </c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</row>
    <row r="23">
      <c r="A23" s="194"/>
      <c r="B23" s="194"/>
      <c r="C23" s="203"/>
      <c r="D23" s="225" t="s">
        <v>160</v>
      </c>
      <c r="E23" s="195"/>
      <c r="F23" s="195"/>
      <c r="G23" s="195"/>
      <c r="H23" s="195"/>
      <c r="I23" s="195"/>
      <c r="J23" s="195"/>
      <c r="K23" s="195"/>
      <c r="L23" s="195"/>
      <c r="M23" s="195"/>
      <c r="N23" s="195">
        <f>'Prévisionnel 2017 SCN2'!O15</f>
        <v>109.4</v>
      </c>
      <c r="O23" s="195">
        <f>'Prévisionnel 2017 SCN2'!P15</f>
        <v>121.8</v>
      </c>
      <c r="P23" s="261"/>
      <c r="Q23" s="234">
        <f>'Prévisionnel 2017 SCN4'!F61</f>
        <v>1555.32</v>
      </c>
      <c r="R23" s="195">
        <f>'Prévisionnel 2017 SCN4'!G61</f>
        <v>1350</v>
      </c>
      <c r="S23" s="195">
        <f>'Prévisionnel 2017 SCN4'!H61</f>
        <v>50</v>
      </c>
      <c r="T23" s="195">
        <f>'Prévisionnel 2017 SCN4'!I61</f>
        <v>1950</v>
      </c>
      <c r="U23" s="195">
        <f>'Prévisionnel 2017 SCN4'!J61</f>
        <v>1950</v>
      </c>
      <c r="V23" s="195">
        <f>'Prévisionnel 2017 SCN4'!K61</f>
        <v>1950</v>
      </c>
      <c r="W23" s="195">
        <f>'Prévisionnel 2017 SCN4'!L61</f>
        <v>1950</v>
      </c>
      <c r="X23" s="195">
        <f>'Prévisionnel 2017 SCN4'!M61</f>
        <v>1950</v>
      </c>
      <c r="Y23" s="195">
        <f>'Prévisionnel 2017 SCN4'!N61</f>
        <v>1950</v>
      </c>
      <c r="Z23" s="195">
        <f>'Prévisionnel 2017 SCN4'!O61</f>
        <v>1950</v>
      </c>
      <c r="AA23" s="195">
        <f>'Prévisionnel 2017 SCN4'!P61</f>
        <v>1950</v>
      </c>
      <c r="AB23" s="195">
        <f>'Prévisionnel 2017 SCN4'!Q61</f>
        <v>1950</v>
      </c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</row>
    <row r="24">
      <c r="A24" s="194"/>
      <c r="B24" s="194"/>
      <c r="C24" s="203"/>
      <c r="D24" s="225" t="s">
        <v>161</v>
      </c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5"/>
      <c r="Q24" s="234">
        <f>54.91</f>
        <v>54.91</v>
      </c>
      <c r="R24" s="195"/>
      <c r="S24" s="195"/>
      <c r="T24" s="195">
        <v>130.0</v>
      </c>
      <c r="U24" s="195"/>
      <c r="V24" s="195"/>
      <c r="W24" s="195"/>
      <c r="X24" s="195"/>
      <c r="Y24" s="195"/>
      <c r="Z24" s="195">
        <v>130.0</v>
      </c>
      <c r="AA24" s="195"/>
      <c r="AB24" s="195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</row>
    <row r="25">
      <c r="A25" s="194"/>
      <c r="B25" s="194"/>
      <c r="C25" s="203"/>
      <c r="D25" s="225" t="s">
        <v>162</v>
      </c>
      <c r="E25" s="195"/>
      <c r="F25" s="195"/>
      <c r="G25" s="195"/>
      <c r="H25" s="195"/>
      <c r="I25" s="195"/>
      <c r="J25" s="195"/>
      <c r="K25" s="195"/>
      <c r="L25" s="195">
        <f>'Prévisionnel 2017 SCN2'!M16</f>
        <v>94.06</v>
      </c>
      <c r="M25" s="195"/>
      <c r="N25" s="195">
        <f>'Prévisionnel 2017 SCN2'!O16</f>
        <v>272.02</v>
      </c>
      <c r="O25" s="195"/>
      <c r="P25" s="261">
        <f>'Prévisionnel 2017 SCN2'!Q16</f>
        <v>130.11</v>
      </c>
      <c r="Q25" s="234">
        <f>'Prévisionnel 2017 SCN4'!F62</f>
        <v>0</v>
      </c>
      <c r="R25" s="195">
        <f>'Prévisionnel 2017 SCN4'!G62</f>
        <v>333</v>
      </c>
      <c r="S25" s="195" t="str">
        <f>'Prévisionnel 2017 SCN4'!H62</f>
        <v/>
      </c>
      <c r="T25" s="195">
        <f>'Prévisionnel 2017 SCN4'!I62</f>
        <v>333</v>
      </c>
      <c r="U25" s="195" t="str">
        <f>'Prévisionnel 2017 SCN4'!J62</f>
        <v/>
      </c>
      <c r="V25" s="195">
        <f>'Prévisionnel 2017 SCN4'!K62</f>
        <v>333</v>
      </c>
      <c r="W25" s="195" t="str">
        <f>'Prévisionnel 2017 SCN4'!L62</f>
        <v/>
      </c>
      <c r="X25" s="195">
        <f>'Prévisionnel 2017 SCN4'!M62</f>
        <v>333</v>
      </c>
      <c r="Y25" s="195" t="str">
        <f>'Prévisionnel 2017 SCN4'!N62</f>
        <v/>
      </c>
      <c r="Z25" s="195">
        <f>'Prévisionnel 2017 SCN4'!O62</f>
        <v>333</v>
      </c>
      <c r="AA25" s="195" t="str">
        <f>'Prévisionnel 2017 SCN4'!P62</f>
        <v/>
      </c>
      <c r="AB25" s="195">
        <f>'Prévisionnel 2017 SCN4'!Q62</f>
        <v>333</v>
      </c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</row>
    <row r="26">
      <c r="A26" s="194"/>
      <c r="B26" s="194"/>
      <c r="C26" s="203"/>
      <c r="D26" s="225" t="s">
        <v>163</v>
      </c>
      <c r="E26" s="195"/>
      <c r="F26" s="195"/>
      <c r="G26" s="195"/>
      <c r="H26" s="195"/>
      <c r="I26" s="195"/>
      <c r="J26" s="195">
        <f>'Prévisionnel 2017 SCN2'!K21</f>
        <v>57.75</v>
      </c>
      <c r="K26" s="195">
        <f>'Prévisionnel 2017 SCN2'!L21</f>
        <v>572.06</v>
      </c>
      <c r="L26" s="195">
        <f>'Prévisionnel 2017 SCN2'!M21</f>
        <v>58.2</v>
      </c>
      <c r="M26" s="195">
        <f>'Prévisionnel 2017 SCN2'!N21</f>
        <v>144.64</v>
      </c>
      <c r="N26" s="195">
        <f>'Prévisionnel 2017 SCN2'!O21</f>
        <v>94.13</v>
      </c>
      <c r="O26" s="195">
        <f>'Prévisionnel 2017 SCN2'!P21</f>
        <v>26.07</v>
      </c>
      <c r="P26" s="261">
        <f>'Prévisionnel 2017 SCN2'!Q21</f>
        <v>19.26</v>
      </c>
      <c r="Q26" s="234">
        <f>'Prévisionnel 2017 SCN4'!F67</f>
        <v>35.27</v>
      </c>
      <c r="R26" s="195">
        <f>'Prévisionnel 2017 SCN4'!G67</f>
        <v>850</v>
      </c>
      <c r="S26" s="195">
        <f>'Prévisionnel 2017 SCN4'!H67</f>
        <v>80</v>
      </c>
      <c r="T26" s="195">
        <f>'Prévisionnel 2017 SCN4'!I67</f>
        <v>80</v>
      </c>
      <c r="U26" s="195">
        <f>'Prévisionnel 2017 SCN4'!J67</f>
        <v>80</v>
      </c>
      <c r="V26" s="195">
        <f>'Prévisionnel 2017 SCN4'!K67</f>
        <v>80</v>
      </c>
      <c r="W26" s="195">
        <f>'Prévisionnel 2017 SCN4'!L67</f>
        <v>80</v>
      </c>
      <c r="X26" s="195">
        <f>'Prévisionnel 2017 SCN4'!M67</f>
        <v>80</v>
      </c>
      <c r="Y26" s="195">
        <f>'Prévisionnel 2017 SCN4'!N67</f>
        <v>80</v>
      </c>
      <c r="Z26" s="195">
        <f>'Prévisionnel 2017 SCN4'!O67</f>
        <v>80</v>
      </c>
      <c r="AA26" s="195">
        <f>'Prévisionnel 2017 SCN4'!P67</f>
        <v>80</v>
      </c>
      <c r="AB26" s="195">
        <f>'Prévisionnel 2017 SCN4'!Q67</f>
        <v>80</v>
      </c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</row>
    <row r="27">
      <c r="A27" s="194"/>
      <c r="B27" s="194"/>
      <c r="C27" s="203"/>
      <c r="D27" s="225" t="s">
        <v>164</v>
      </c>
      <c r="E27" s="195">
        <f>'Prévisionnel 2017 SCN2'!F18</f>
        <v>22.95</v>
      </c>
      <c r="F27" s="195"/>
      <c r="G27" s="195"/>
      <c r="H27" s="195"/>
      <c r="I27" s="195">
        <f>'Prévisionnel 2017 SCN2'!J18</f>
        <v>95.69</v>
      </c>
      <c r="J27" s="195">
        <f>'Prévisionnel 2017 SCN2'!K18</f>
        <v>19.29</v>
      </c>
      <c r="K27" s="195"/>
      <c r="L27" s="195">
        <f>'Prévisionnel 2017 SCN2'!M18</f>
        <v>45</v>
      </c>
      <c r="M27" s="195">
        <f>'Prévisionnel 2017 SCN2'!N18</f>
        <v>40</v>
      </c>
      <c r="N27" s="195"/>
      <c r="O27" s="195">
        <f>'Prévisionnel 2017 SCN2'!P18</f>
        <v>35.06</v>
      </c>
      <c r="P27" s="261">
        <f>'Prévisionnel 2017 SCN2'!Q18</f>
        <v>0</v>
      </c>
      <c r="Q27" s="234">
        <f>'Prévisionnel 2017 SCN4'!F64</f>
        <v>190.26</v>
      </c>
      <c r="R27" s="195">
        <f>'Prévisionnel 2017 SCN4'!G64</f>
        <v>400</v>
      </c>
      <c r="S27" s="195">
        <f>'Prévisionnel 2017 SCN4'!H64</f>
        <v>50</v>
      </c>
      <c r="T27" s="195">
        <f>'Prévisionnel 2017 SCN4'!I64</f>
        <v>50</v>
      </c>
      <c r="U27" s="195">
        <f>'Prévisionnel 2017 SCN4'!J64</f>
        <v>50</v>
      </c>
      <c r="V27" s="195">
        <f>'Prévisionnel 2017 SCN4'!K64</f>
        <v>50</v>
      </c>
      <c r="W27" s="195">
        <f>'Prévisionnel 2017 SCN4'!L64</f>
        <v>50</v>
      </c>
      <c r="X27" s="195">
        <f>'Prévisionnel 2017 SCN4'!M64</f>
        <v>50</v>
      </c>
      <c r="Y27" s="195">
        <f>'Prévisionnel 2017 SCN4'!N64</f>
        <v>50</v>
      </c>
      <c r="Z27" s="195">
        <f>'Prévisionnel 2017 SCN4'!O64</f>
        <v>50</v>
      </c>
      <c r="AA27" s="195">
        <f>'Prévisionnel 2017 SCN4'!P64</f>
        <v>50</v>
      </c>
      <c r="AB27" s="195">
        <f>'Prévisionnel 2017 SCN4'!Q64</f>
        <v>50</v>
      </c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</row>
    <row r="28">
      <c r="A28" s="194"/>
      <c r="B28" s="194"/>
      <c r="C28" s="203"/>
      <c r="D28" s="225" t="s">
        <v>166</v>
      </c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5"/>
      <c r="Q28" s="266"/>
      <c r="R28" s="264"/>
      <c r="S28" s="264"/>
      <c r="T28" s="264"/>
      <c r="U28" s="264"/>
      <c r="V28" s="264"/>
      <c r="W28" s="264"/>
      <c r="X28" s="264"/>
      <c r="Y28" s="264"/>
      <c r="Z28" s="264"/>
      <c r="AA28" s="264"/>
      <c r="AB28" s="26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</row>
    <row r="29">
      <c r="A29" s="194"/>
      <c r="B29" s="194"/>
      <c r="C29" s="203"/>
      <c r="D29" s="225" t="s">
        <v>167</v>
      </c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5"/>
      <c r="Q29" s="266"/>
      <c r="R29" s="264"/>
      <c r="S29" s="264"/>
      <c r="T29" s="264"/>
      <c r="U29" s="264"/>
      <c r="V29" s="264"/>
      <c r="W29" s="264"/>
      <c r="X29" s="264"/>
      <c r="Y29" s="264"/>
      <c r="Z29" s="264"/>
      <c r="AA29" s="264"/>
      <c r="AB29" s="26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</row>
    <row r="30">
      <c r="A30" s="194"/>
      <c r="B30" s="194"/>
      <c r="C30" s="203"/>
      <c r="D30" s="225" t="s">
        <v>168</v>
      </c>
      <c r="E30" s="195"/>
      <c r="F30" s="195"/>
      <c r="G30" s="195"/>
      <c r="H30" s="195"/>
      <c r="I30" s="195">
        <f>'Prévisionnel 2017 SCN2'!J20</f>
        <v>250</v>
      </c>
      <c r="J30" s="195">
        <f>'Prévisionnel 2017 SCN2'!K20</f>
        <v>665</v>
      </c>
      <c r="K30" s="195"/>
      <c r="L30" s="195">
        <f>'Prévisionnel 2017 SCN2'!M20</f>
        <v>1950</v>
      </c>
      <c r="M30" s="195"/>
      <c r="N30" s="195"/>
      <c r="O30" s="195">
        <f>'Prévisionnel 2017 SCN2'!P20</f>
        <v>1950</v>
      </c>
      <c r="P30" s="261"/>
      <c r="Q30" s="234">
        <f>'Prévisionnel 2017 SCN4'!F66</f>
        <v>0</v>
      </c>
      <c r="R30" s="195">
        <f>'Prévisionnel 2017 SCN4'!G66</f>
        <v>1950</v>
      </c>
      <c r="S30" s="195">
        <f>'Prévisionnel 2017 SCN4'!H66</f>
        <v>130</v>
      </c>
      <c r="T30" s="195">
        <f>'Prévisionnel 2017 SCN4'!I66</f>
        <v>30</v>
      </c>
      <c r="U30" s="195">
        <f>'Prévisionnel 2017 SCN4'!J66</f>
        <v>1980</v>
      </c>
      <c r="V30" s="195">
        <f>'Prévisionnel 2017 SCN4'!K66</f>
        <v>280</v>
      </c>
      <c r="W30" s="195">
        <f>'Prévisionnel 2017 SCN4'!L66</f>
        <v>0</v>
      </c>
      <c r="X30" s="195">
        <f>'Prévisionnel 2017 SCN4'!M66</f>
        <v>1950</v>
      </c>
      <c r="Y30" s="195">
        <f>'Prévisionnel 2017 SCN4'!N66</f>
        <v>280</v>
      </c>
      <c r="Z30" s="195">
        <f>'Prévisionnel 2017 SCN4'!O66</f>
        <v>30</v>
      </c>
      <c r="AA30" s="195">
        <f>'Prévisionnel 2017 SCN4'!P66</f>
        <v>1980</v>
      </c>
      <c r="AB30" s="195">
        <f>'Prévisionnel 2017 SCN4'!Q66</f>
        <v>1300</v>
      </c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</row>
    <row r="31">
      <c r="A31" s="194"/>
      <c r="B31" s="194"/>
      <c r="C31" s="203"/>
      <c r="D31" s="225" t="s">
        <v>169</v>
      </c>
      <c r="E31" s="195"/>
      <c r="F31" s="195"/>
      <c r="G31" s="195"/>
      <c r="H31" s="195"/>
      <c r="I31" s="195"/>
      <c r="J31" s="195"/>
      <c r="K31" s="195">
        <f>'Prévisionnel 2017 SCN2'!L22</f>
        <v>173.08</v>
      </c>
      <c r="L31" s="195"/>
      <c r="M31" s="195"/>
      <c r="N31" s="195"/>
      <c r="O31" s="195"/>
      <c r="P31" s="261"/>
      <c r="Q31" s="234">
        <f>'Prévisionnel 2017 SCN4'!F68</f>
        <v>299.26</v>
      </c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</row>
    <row r="32">
      <c r="A32" s="194"/>
      <c r="B32" s="194"/>
      <c r="C32" s="203"/>
      <c r="D32" s="225" t="s">
        <v>170</v>
      </c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5"/>
      <c r="Q32" s="266"/>
      <c r="R32" s="264"/>
      <c r="S32" s="264"/>
      <c r="T32" s="264"/>
      <c r="U32" s="264"/>
      <c r="V32" s="264"/>
      <c r="W32" s="264"/>
      <c r="X32" s="264"/>
      <c r="Y32" s="264"/>
      <c r="Z32" s="264"/>
      <c r="AA32" s="264"/>
      <c r="AB32" s="26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</row>
    <row r="33">
      <c r="A33" s="194"/>
      <c r="B33" s="194"/>
      <c r="C33" s="203"/>
      <c r="D33" s="225" t="s">
        <v>171</v>
      </c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5"/>
      <c r="Q33" s="266"/>
      <c r="R33" s="264"/>
      <c r="S33" s="264"/>
      <c r="T33" s="264"/>
      <c r="U33" s="264"/>
      <c r="V33" s="264"/>
      <c r="W33" s="264"/>
      <c r="X33" s="264"/>
      <c r="Y33" s="264"/>
      <c r="Z33" s="264"/>
      <c r="AA33" s="264"/>
      <c r="AB33" s="26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</row>
    <row r="34">
      <c r="A34" s="194"/>
      <c r="B34" s="194"/>
      <c r="C34" s="203"/>
      <c r="D34" s="225" t="s">
        <v>172</v>
      </c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5"/>
      <c r="Q34" s="266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</row>
    <row r="35">
      <c r="A35" s="194"/>
      <c r="B35" s="194"/>
      <c r="C35" s="203"/>
      <c r="D35" s="225" t="s">
        <v>173</v>
      </c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5"/>
      <c r="Q35" s="266"/>
      <c r="R35" s="264"/>
      <c r="S35" s="264"/>
      <c r="T35" s="264"/>
      <c r="U35" s="264"/>
      <c r="V35" s="264"/>
      <c r="W35" s="264"/>
      <c r="X35" s="264"/>
      <c r="Y35" s="264"/>
      <c r="Z35" s="264"/>
      <c r="AA35" s="264"/>
      <c r="AB35" s="26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</row>
    <row r="36">
      <c r="A36" s="194"/>
      <c r="B36" s="194"/>
      <c r="C36" s="203"/>
      <c r="D36" s="225" t="s">
        <v>174</v>
      </c>
      <c r="E36" s="195"/>
      <c r="F36" s="195"/>
      <c r="G36" s="195"/>
      <c r="H36" s="195">
        <f>'Prévisionnel 2017 SCN2'!I25</f>
        <v>26.8</v>
      </c>
      <c r="I36" s="195"/>
      <c r="J36" s="195"/>
      <c r="K36" s="195">
        <f>'Prévisionnel 2017 SCN2'!L25</f>
        <v>78.15</v>
      </c>
      <c r="L36" s="195">
        <f>'Prévisionnel 2017 SCN2'!M25</f>
        <v>17.99</v>
      </c>
      <c r="M36" s="195">
        <f>'Prévisionnel 2017 SCN2'!N25</f>
        <v>17.99</v>
      </c>
      <c r="N36" s="195">
        <f>'Prévisionnel 2017 SCN2'!O25</f>
        <v>11.79</v>
      </c>
      <c r="O36" s="195">
        <f>'Prévisionnel 2017 SCN2'!P25</f>
        <v>59.31</v>
      </c>
      <c r="P36" s="261">
        <f>'Prévisionnel 2017 SCN2'!Q25</f>
        <v>17.99</v>
      </c>
      <c r="Q36" s="234">
        <f>'Prévisionnel 2017 SCN4'!F71</f>
        <v>19.61</v>
      </c>
      <c r="R36" s="195">
        <f>'Prévisionnel 2017 SCN4'!G71</f>
        <v>27.99</v>
      </c>
      <c r="S36" s="195">
        <f>'Prévisionnel 2017 SCN4'!H71</f>
        <v>27.99</v>
      </c>
      <c r="T36" s="195">
        <f>'Prévisionnel 2017 SCN4'!I71</f>
        <v>27.99</v>
      </c>
      <c r="U36" s="195">
        <f>'Prévisionnel 2017 SCN4'!J71</f>
        <v>27.99</v>
      </c>
      <c r="V36" s="195">
        <f>'Prévisionnel 2017 SCN4'!K71</f>
        <v>27.99</v>
      </c>
      <c r="W36" s="195">
        <f>'Prévisionnel 2017 SCN4'!L71</f>
        <v>27.99</v>
      </c>
      <c r="X36" s="195">
        <f>'Prévisionnel 2017 SCN4'!M71</f>
        <v>39.99</v>
      </c>
      <c r="Y36" s="195">
        <f>'Prévisionnel 2017 SCN4'!N71</f>
        <v>39.99</v>
      </c>
      <c r="Z36" s="195">
        <f>'Prévisionnel 2017 SCN4'!O71</f>
        <v>39.99</v>
      </c>
      <c r="AA36" s="195">
        <f>'Prévisionnel 2017 SCN4'!P71</f>
        <v>39.99</v>
      </c>
      <c r="AB36" s="195">
        <f>'Prévisionnel 2017 SCN4'!Q71</f>
        <v>39.99</v>
      </c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</row>
    <row r="37">
      <c r="A37" s="194"/>
      <c r="B37" s="194"/>
      <c r="C37" s="203"/>
      <c r="D37" s="225" t="s">
        <v>68</v>
      </c>
      <c r="E37" s="195">
        <f>'Prévisionnel 2017 SCN2'!F24</f>
        <v>23.4</v>
      </c>
      <c r="F37" s="195">
        <f>'Prévisionnel 2017 SCN2'!G24</f>
        <v>40</v>
      </c>
      <c r="G37" s="195">
        <f>'Prévisionnel 2017 SCN2'!H24</f>
        <v>40</v>
      </c>
      <c r="H37" s="195">
        <f>'Prévisionnel 2017 SCN2'!I24</f>
        <v>62</v>
      </c>
      <c r="I37" s="195">
        <f>'Prévisionnel 2017 SCN2'!J24</f>
        <v>50</v>
      </c>
      <c r="J37" s="195">
        <f>'Prévisionnel 2017 SCN2'!K24</f>
        <v>60</v>
      </c>
      <c r="K37" s="195">
        <f>'Prévisionnel 2017 SCN2'!L24</f>
        <v>0</v>
      </c>
      <c r="L37" s="195">
        <f>'Prévisionnel 2017 SCN2'!M24</f>
        <v>51</v>
      </c>
      <c r="M37" s="195">
        <f>'Prévisionnel 2017 SCN2'!N24</f>
        <v>112.01</v>
      </c>
      <c r="N37" s="195">
        <f>'Prévisionnel 2017 SCN2'!O24</f>
        <v>60</v>
      </c>
      <c r="O37" s="195">
        <f>'Prévisionnel 2017 SCN2'!P24</f>
        <v>47.78</v>
      </c>
      <c r="P37" s="261">
        <f>'Prévisionnel 2017 SCN2'!Q24</f>
        <v>30</v>
      </c>
      <c r="Q37" s="234">
        <f>'Prévisionnel 2017 SCN4'!F70</f>
        <v>44</v>
      </c>
      <c r="R37" s="195">
        <f>'Prévisionnel 2017 SCN4'!G70</f>
        <v>60</v>
      </c>
      <c r="S37" s="195">
        <f>'Prévisionnel 2017 SCN4'!H70</f>
        <v>60</v>
      </c>
      <c r="T37" s="195">
        <f>'Prévisionnel 2017 SCN4'!I70</f>
        <v>60</v>
      </c>
      <c r="U37" s="195">
        <f>'Prévisionnel 2017 SCN4'!J70</f>
        <v>60</v>
      </c>
      <c r="V37" s="195">
        <f>'Prévisionnel 2017 SCN4'!K70</f>
        <v>60</v>
      </c>
      <c r="W37" s="195">
        <f>'Prévisionnel 2017 SCN4'!L70</f>
        <v>60</v>
      </c>
      <c r="X37" s="195">
        <f>'Prévisionnel 2017 SCN4'!M70</f>
        <v>60</v>
      </c>
      <c r="Y37" s="195">
        <f>'Prévisionnel 2017 SCN4'!N70</f>
        <v>60</v>
      </c>
      <c r="Z37" s="195">
        <f>'Prévisionnel 2017 SCN4'!O70</f>
        <v>60</v>
      </c>
      <c r="AA37" s="195">
        <f>'Prévisionnel 2017 SCN4'!P70</f>
        <v>60</v>
      </c>
      <c r="AB37" s="195">
        <f>'Prévisionnel 2017 SCN4'!Q70</f>
        <v>60</v>
      </c>
      <c r="AC37" s="194"/>
      <c r="AD37" s="194"/>
      <c r="AE37" s="194"/>
      <c r="AF37" s="194"/>
      <c r="AG37" s="194"/>
      <c r="AH37" s="194"/>
      <c r="AI37" s="194"/>
      <c r="AJ37" s="194"/>
      <c r="AK37" s="194"/>
      <c r="AL37" s="194"/>
    </row>
    <row r="38">
      <c r="A38" s="194"/>
      <c r="B38" s="194"/>
      <c r="C38" s="203"/>
      <c r="D38" s="225" t="s">
        <v>176</v>
      </c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5"/>
      <c r="Q38" s="266"/>
      <c r="R38" s="264"/>
      <c r="S38" s="264"/>
      <c r="T38" s="264"/>
      <c r="U38" s="264"/>
      <c r="V38" s="264"/>
      <c r="W38" s="264"/>
      <c r="X38" s="264"/>
      <c r="Y38" s="264"/>
      <c r="Z38" s="264"/>
      <c r="AA38" s="264"/>
      <c r="AB38" s="26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</row>
    <row r="39">
      <c r="A39" s="194"/>
      <c r="B39" s="194"/>
      <c r="C39" s="203"/>
      <c r="D39" s="225" t="s">
        <v>177</v>
      </c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5"/>
      <c r="Q39" s="266"/>
      <c r="R39" s="264"/>
      <c r="S39" s="264"/>
      <c r="T39" s="195">
        <f>'Prévisionnel 2017 SCN4'!I60</f>
        <v>5285</v>
      </c>
      <c r="U39" s="264"/>
      <c r="V39" s="264"/>
      <c r="W39" s="264"/>
      <c r="X39" s="264"/>
      <c r="Y39" s="264"/>
      <c r="Z39" s="264"/>
      <c r="AA39" s="264"/>
      <c r="AB39" s="264"/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</row>
    <row r="40">
      <c r="A40" s="194"/>
      <c r="B40" s="194"/>
      <c r="C40" s="203"/>
      <c r="D40" s="225" t="s">
        <v>178</v>
      </c>
      <c r="E40" s="195"/>
      <c r="F40" s="195"/>
      <c r="G40" s="195"/>
      <c r="H40" s="195"/>
      <c r="I40" s="195"/>
      <c r="J40" s="195"/>
      <c r="K40" s="195"/>
      <c r="L40" s="195"/>
      <c r="M40" s="195"/>
      <c r="N40" s="195">
        <f>'Prévisionnel 2017 SCN2'!O27</f>
        <v>1123.42</v>
      </c>
      <c r="O40" s="195">
        <f>'Prévisionnel 2017 SCN2'!P27</f>
        <v>1123.42</v>
      </c>
      <c r="P40" s="261">
        <f>'Prévisionnel 2017 SCN2'!Q27</f>
        <v>1123.42</v>
      </c>
      <c r="Q40" s="234">
        <f>'Prévisionnel 2017 SCN4'!F73</f>
        <v>1123.49</v>
      </c>
      <c r="R40" s="195">
        <f>'Prévisionnel 2017 SCN4'!G73</f>
        <v>1123.4</v>
      </c>
      <c r="S40" s="195">
        <f>'Prévisionnel 2017 SCN4'!H73</f>
        <v>2246.8</v>
      </c>
      <c r="T40" s="195">
        <f>'Prévisionnel 2017 SCN4'!I73</f>
        <v>2246.8</v>
      </c>
      <c r="U40" s="195">
        <f>'Prévisionnel 2017 SCN4'!J73</f>
        <v>2246.8</v>
      </c>
      <c r="V40" s="195">
        <f>'Prévisionnel 2017 SCN4'!K73</f>
        <v>2246.8</v>
      </c>
      <c r="W40" s="195">
        <f>'Prévisionnel 2017 SCN4'!L73</f>
        <v>2246.8</v>
      </c>
      <c r="X40" s="195">
        <f>'Prévisionnel 2017 SCN4'!M73</f>
        <v>2246.8</v>
      </c>
      <c r="Y40" s="195">
        <f>'Prévisionnel 2017 SCN4'!N73</f>
        <v>2246.8</v>
      </c>
      <c r="Z40" s="195">
        <f>'Prévisionnel 2017 SCN4'!O73</f>
        <v>2246.8</v>
      </c>
      <c r="AA40" s="195">
        <f>'Prévisionnel 2017 SCN4'!P73</f>
        <v>2246.8</v>
      </c>
      <c r="AB40" s="195">
        <f>'Prévisionnel 2017 SCN4'!Q73</f>
        <v>2246.8</v>
      </c>
      <c r="AC40" s="194"/>
      <c r="AD40" s="194"/>
      <c r="AE40" s="194"/>
      <c r="AF40" s="194"/>
      <c r="AG40" s="194"/>
      <c r="AH40" s="194"/>
      <c r="AI40" s="194"/>
      <c r="AJ40" s="194"/>
      <c r="AK40" s="194"/>
      <c r="AL40" s="194"/>
    </row>
    <row r="41">
      <c r="A41" s="194"/>
      <c r="B41" s="194"/>
      <c r="C41" s="203"/>
      <c r="D41" s="225" t="s">
        <v>179</v>
      </c>
      <c r="E41" s="195" t="str">
        <f>'Prévisionnel 2017 SCN2'!F28</f>
        <v/>
      </c>
      <c r="F41" s="195" t="str">
        <f>'Prévisionnel 2017 SCN2'!G28</f>
        <v/>
      </c>
      <c r="G41" s="195" t="str">
        <f>'Prévisionnel 2017 SCN2'!H28</f>
        <v/>
      </c>
      <c r="H41" s="195" t="str">
        <f>'Prévisionnel 2017 SCN2'!I28</f>
        <v/>
      </c>
      <c r="I41" s="195" t="str">
        <f>'Prévisionnel 2017 SCN2'!J28</f>
        <v/>
      </c>
      <c r="J41" s="195" t="str">
        <f>'Prévisionnel 2017 SCN2'!K28</f>
        <v/>
      </c>
      <c r="K41" s="195" t="str">
        <f>'Prévisionnel 2017 SCN2'!L28</f>
        <v/>
      </c>
      <c r="L41" s="195" t="str">
        <f>'Prévisionnel 2017 SCN2'!M28</f>
        <v/>
      </c>
      <c r="M41" s="195"/>
      <c r="N41" s="195"/>
      <c r="O41" s="195">
        <f>'Prévisionnel 2017 SCN2'!P28</f>
        <v>359</v>
      </c>
      <c r="P41" s="261"/>
      <c r="Q41" s="234">
        <f>'Prévisionnel 2017 SCN4'!F74</f>
        <v>1078</v>
      </c>
      <c r="R41" s="195">
        <f>'Prévisionnel 2017 SCN4'!G74</f>
        <v>727</v>
      </c>
      <c r="S41" s="195">
        <f>'Prévisionnel 2017 SCN4'!H74</f>
        <v>253</v>
      </c>
      <c r="T41" s="195">
        <f>'Prévisionnel 2017 SCN4'!I74</f>
        <v>2995</v>
      </c>
      <c r="U41" s="195">
        <f>'Prévisionnel 2017 SCN4'!J74</f>
        <v>110</v>
      </c>
      <c r="V41" s="195">
        <f>'Prévisionnel 2017 SCN4'!K74</f>
        <v>110</v>
      </c>
      <c r="W41" s="195">
        <f>'Prévisionnel 2017 SCN4'!L74</f>
        <v>2418</v>
      </c>
      <c r="X41" s="195">
        <f>'Prévisionnel 2017 SCN4'!M74</f>
        <v>110</v>
      </c>
      <c r="Y41" s="195">
        <f>'Prévisionnel 2017 SCN4'!N74</f>
        <v>110</v>
      </c>
      <c r="Z41" s="195">
        <f>'Prévisionnel 2017 SCN4'!O74</f>
        <v>2418</v>
      </c>
      <c r="AA41" s="195">
        <f>'Prévisionnel 2017 SCN4'!P74</f>
        <v>110</v>
      </c>
      <c r="AB41" s="195">
        <f>'Prévisionnel 2017 SCN4'!Q74</f>
        <v>110</v>
      </c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</row>
    <row r="42">
      <c r="A42" s="194"/>
      <c r="B42" s="194"/>
      <c r="C42" s="203"/>
      <c r="D42" s="225" t="s">
        <v>180</v>
      </c>
      <c r="E42" s="195">
        <f>'Prévisionnel 2017 SCN2'!F26</f>
        <v>17.77</v>
      </c>
      <c r="F42" s="195">
        <f>'Prévisionnel 2017 SCN2'!G26</f>
        <v>7.3</v>
      </c>
      <c r="G42" s="195">
        <f>'Prévisionnel 2017 SCN2'!H26</f>
        <v>7.3</v>
      </c>
      <c r="H42" s="195">
        <f>'Prévisionnel 2017 SCN2'!I26</f>
        <v>19.56</v>
      </c>
      <c r="I42" s="195">
        <f>'Prévisionnel 2017 SCN2'!J26</f>
        <v>13.06</v>
      </c>
      <c r="J42" s="195">
        <f>'Prévisionnel 2017 SCN2'!K26</f>
        <v>25.65</v>
      </c>
      <c r="K42" s="195">
        <f>'Prévisionnel 2017 SCN2'!L26</f>
        <v>7.3</v>
      </c>
      <c r="L42" s="195">
        <f>'Prévisionnel 2017 SCN2'!M26</f>
        <v>7.3</v>
      </c>
      <c r="M42" s="195">
        <f>'Prévisionnel 2017 SCN2'!N26</f>
        <v>24.19</v>
      </c>
      <c r="N42" s="195">
        <f>'Prévisionnel 2017 SCN2'!O26</f>
        <v>7.3</v>
      </c>
      <c r="O42" s="195">
        <f>'Prévisionnel 2017 SCN2'!P26</f>
        <v>7.3</v>
      </c>
      <c r="P42" s="261">
        <f>'Prévisionnel 2017 SCN2'!Q26</f>
        <v>60.12</v>
      </c>
      <c r="Q42" s="234">
        <f>'Prévisionnel 2017 SCN4'!F72</f>
        <v>7.3</v>
      </c>
      <c r="R42" s="195">
        <f>'Prévisionnel 2017 SCN4'!G72</f>
        <v>20</v>
      </c>
      <c r="S42" s="195">
        <f>'Prévisionnel 2017 SCN4'!H72</f>
        <v>20</v>
      </c>
      <c r="T42" s="195">
        <f>'Prévisionnel 2017 SCN4'!I72</f>
        <v>20</v>
      </c>
      <c r="U42" s="195">
        <f>'Prévisionnel 2017 SCN4'!J72</f>
        <v>20</v>
      </c>
      <c r="V42" s="195">
        <f>'Prévisionnel 2017 SCN4'!K72</f>
        <v>20</v>
      </c>
      <c r="W42" s="195">
        <f>'Prévisionnel 2017 SCN4'!L72</f>
        <v>20</v>
      </c>
      <c r="X42" s="195">
        <f>'Prévisionnel 2017 SCN4'!M72</f>
        <v>20</v>
      </c>
      <c r="Y42" s="195">
        <f>'Prévisionnel 2017 SCN4'!N72</f>
        <v>20</v>
      </c>
      <c r="Z42" s="195">
        <f>'Prévisionnel 2017 SCN4'!O72</f>
        <v>20</v>
      </c>
      <c r="AA42" s="195">
        <f>'Prévisionnel 2017 SCN4'!P72</f>
        <v>20</v>
      </c>
      <c r="AB42" s="195">
        <f>'Prévisionnel 2017 SCN4'!Q72</f>
        <v>20</v>
      </c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</row>
    <row r="43">
      <c r="A43" s="194"/>
      <c r="B43" s="194"/>
      <c r="C43" s="203"/>
      <c r="D43" s="225" t="s">
        <v>181</v>
      </c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64"/>
      <c r="P43" s="265"/>
      <c r="Q43" s="266"/>
      <c r="R43" s="264"/>
      <c r="S43" s="264"/>
      <c r="T43" s="264"/>
      <c r="U43" s="264"/>
      <c r="V43" s="264"/>
      <c r="W43" s="264"/>
      <c r="X43" s="264"/>
      <c r="Y43" s="264"/>
      <c r="Z43" s="264"/>
      <c r="AA43" s="264"/>
      <c r="AB43" s="264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</row>
    <row r="44">
      <c r="A44" s="194"/>
      <c r="B44" s="194"/>
      <c r="C44" s="203"/>
      <c r="D44" s="225" t="s">
        <v>182</v>
      </c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5"/>
      <c r="Q44" s="195" t="str">
        <f>'Prévisionnel 2017 SCN4'!F59</f>
        <v/>
      </c>
      <c r="R44" s="195" t="str">
        <f>'Prévisionnel 2017 SCN4'!G59</f>
        <v/>
      </c>
      <c r="S44" s="195" t="str">
        <f>'Prévisionnel 2017 SCN4'!H59</f>
        <v/>
      </c>
      <c r="T44" s="195" t="str">
        <f>'Prévisionnel 2017 SCN4'!I59</f>
        <v/>
      </c>
      <c r="U44" s="195" t="str">
        <f>'Prévisionnel 2017 SCN4'!J59</f>
        <v/>
      </c>
      <c r="V44" s="195">
        <f>'Prévisionnel 2017 SCN4'!K59</f>
        <v>0</v>
      </c>
      <c r="W44" s="195">
        <f>'Prévisionnel 2017 SCN4'!L59</f>
        <v>0</v>
      </c>
      <c r="X44" s="195">
        <f>'Prévisionnel 2017 SCN4'!M59</f>
        <v>0</v>
      </c>
      <c r="Y44" s="195">
        <f>'Prévisionnel 2017 SCN4'!N59</f>
        <v>40.60772727</v>
      </c>
      <c r="Z44" s="195">
        <f>'Prévisionnel 2017 SCN4'!O59</f>
        <v>0</v>
      </c>
      <c r="AA44" s="195">
        <f>'Prévisionnel 2017 SCN4'!P59</f>
        <v>40.60772727</v>
      </c>
      <c r="AB44" s="195">
        <f>'Prévisionnel 2017 SCN4'!Q59</f>
        <v>0</v>
      </c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</row>
    <row r="45">
      <c r="A45" s="194"/>
      <c r="B45" s="194"/>
      <c r="C45" s="203"/>
      <c r="D45" s="241" t="s">
        <v>183</v>
      </c>
      <c r="E45" s="269">
        <f t="shared" ref="E45:AB45" si="5">SUM(E22:E44)</f>
        <v>2116.29</v>
      </c>
      <c r="F45" s="269">
        <f t="shared" si="5"/>
        <v>2680.15</v>
      </c>
      <c r="G45" s="269">
        <f t="shared" si="5"/>
        <v>2765.99</v>
      </c>
      <c r="H45" s="269">
        <f t="shared" si="5"/>
        <v>3610.04</v>
      </c>
      <c r="I45" s="269">
        <f t="shared" si="5"/>
        <v>3663.59</v>
      </c>
      <c r="J45" s="269">
        <f t="shared" si="5"/>
        <v>4324.57</v>
      </c>
      <c r="K45" s="269">
        <f t="shared" si="5"/>
        <v>2732.41</v>
      </c>
      <c r="L45" s="269">
        <f t="shared" si="5"/>
        <v>4445.86</v>
      </c>
      <c r="M45" s="269">
        <f t="shared" si="5"/>
        <v>5164.98</v>
      </c>
      <c r="N45" s="269">
        <f t="shared" si="5"/>
        <v>7635.09</v>
      </c>
      <c r="O45" s="269">
        <f t="shared" si="5"/>
        <v>10872.73</v>
      </c>
      <c r="P45" s="271">
        <f t="shared" si="5"/>
        <v>11782.13</v>
      </c>
      <c r="Q45" s="272">
        <f t="shared" si="5"/>
        <v>16278.23</v>
      </c>
      <c r="R45" s="273">
        <f t="shared" si="5"/>
        <v>19961.39</v>
      </c>
      <c r="S45" s="273">
        <f t="shared" si="5"/>
        <v>16037.79</v>
      </c>
      <c r="T45" s="273">
        <f t="shared" si="5"/>
        <v>26327.79</v>
      </c>
      <c r="U45" s="273">
        <f t="shared" si="5"/>
        <v>19644.79</v>
      </c>
      <c r="V45" s="273">
        <f t="shared" si="5"/>
        <v>18277.79</v>
      </c>
      <c r="W45" s="273">
        <f t="shared" si="5"/>
        <v>13412.79</v>
      </c>
      <c r="X45" s="273">
        <f t="shared" si="5"/>
        <v>13399.79</v>
      </c>
      <c r="Y45" s="273">
        <f t="shared" si="5"/>
        <v>17997.39773</v>
      </c>
      <c r="Z45" s="273">
        <f t="shared" si="5"/>
        <v>20477.79</v>
      </c>
      <c r="AA45" s="273">
        <f t="shared" si="5"/>
        <v>19697.39773</v>
      </c>
      <c r="AB45" s="273">
        <f t="shared" si="5"/>
        <v>19309.79</v>
      </c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</row>
    <row r="46">
      <c r="A46" s="194"/>
      <c r="B46" s="194"/>
      <c r="C46" s="203"/>
      <c r="D46" s="224" t="s">
        <v>152</v>
      </c>
      <c r="E46" s="1"/>
      <c r="Q46" s="1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</row>
    <row r="47">
      <c r="A47" s="194"/>
      <c r="B47" s="194"/>
      <c r="C47" s="203"/>
      <c r="D47" s="225" t="s">
        <v>184</v>
      </c>
      <c r="E47" s="264"/>
      <c r="F47" s="274"/>
      <c r="G47" s="274"/>
      <c r="H47" s="274"/>
      <c r="I47" s="274"/>
      <c r="J47" s="274"/>
      <c r="K47" s="274"/>
      <c r="L47" s="274"/>
      <c r="M47" s="274"/>
      <c r="N47" s="274"/>
      <c r="O47" s="274"/>
      <c r="P47" s="276"/>
      <c r="Q47" s="266"/>
      <c r="R47" s="274"/>
      <c r="S47" s="274"/>
      <c r="T47" s="274"/>
      <c r="U47" s="274"/>
      <c r="V47" s="274"/>
      <c r="W47" s="274"/>
      <c r="X47" s="274"/>
      <c r="Y47" s="274"/>
      <c r="Z47" s="274"/>
      <c r="AA47" s="274"/>
      <c r="AB47" s="27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</row>
    <row r="48">
      <c r="A48" s="194"/>
      <c r="B48" s="194"/>
      <c r="C48" s="203"/>
      <c r="D48" s="225" t="s">
        <v>185</v>
      </c>
      <c r="E48" s="264"/>
      <c r="F48" s="274"/>
      <c r="G48" s="274"/>
      <c r="H48" s="274"/>
      <c r="I48" s="274"/>
      <c r="J48" s="274"/>
      <c r="K48" s="274"/>
      <c r="L48" s="274"/>
      <c r="M48" s="274"/>
      <c r="N48" s="274"/>
      <c r="O48" s="274"/>
      <c r="P48" s="276"/>
      <c r="Q48" s="266"/>
      <c r="R48" s="274"/>
      <c r="S48" s="274"/>
      <c r="T48" s="274"/>
      <c r="U48" s="274"/>
      <c r="V48" s="274"/>
      <c r="W48" s="274"/>
      <c r="X48" s="274"/>
      <c r="Y48" s="274"/>
      <c r="Z48" s="274"/>
      <c r="AA48" s="274"/>
      <c r="AB48" s="274"/>
      <c r="AC48" s="194"/>
      <c r="AD48" s="194"/>
      <c r="AE48" s="194"/>
      <c r="AF48" s="194"/>
      <c r="AG48" s="194"/>
      <c r="AH48" s="194"/>
      <c r="AI48" s="194"/>
      <c r="AJ48" s="194"/>
      <c r="AK48" s="194"/>
      <c r="AL48" s="194"/>
    </row>
    <row r="49">
      <c r="A49" s="194"/>
      <c r="B49" s="194"/>
      <c r="C49" s="203"/>
      <c r="D49" s="225" t="s">
        <v>186</v>
      </c>
      <c r="E49" s="264"/>
      <c r="F49" s="274"/>
      <c r="G49" s="274"/>
      <c r="H49" s="274"/>
      <c r="I49" s="274"/>
      <c r="J49" s="274"/>
      <c r="K49" s="274"/>
      <c r="L49" s="274"/>
      <c r="M49" s="274"/>
      <c r="N49" s="274"/>
      <c r="O49" s="274"/>
      <c r="P49" s="276"/>
      <c r="Q49" s="266"/>
      <c r="R49" s="274"/>
      <c r="S49" s="274"/>
      <c r="T49" s="274"/>
      <c r="U49" s="274"/>
      <c r="V49" s="274"/>
      <c r="W49" s="274"/>
      <c r="X49" s="274"/>
      <c r="Y49" s="274"/>
      <c r="Z49" s="274"/>
      <c r="AA49" s="274"/>
      <c r="AB49" s="27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</row>
    <row r="50">
      <c r="A50" s="194"/>
      <c r="B50" s="194"/>
      <c r="C50" s="203"/>
      <c r="D50" s="225" t="s">
        <v>187</v>
      </c>
      <c r="E50" s="195"/>
      <c r="F50" s="195">
        <f>'Prévisionnel 2017 SCN2'!G29</f>
        <v>13.64</v>
      </c>
      <c r="G50" s="195"/>
      <c r="H50" s="195"/>
      <c r="I50" s="195">
        <f>'Prévisionnel 2017 SCN2'!J29</f>
        <v>29.72</v>
      </c>
      <c r="J50" s="195"/>
      <c r="K50" s="195"/>
      <c r="L50" s="195"/>
      <c r="M50" s="195">
        <f>'Prévisionnel 2017 SCN2'!N29</f>
        <v>59.72</v>
      </c>
      <c r="N50" s="195"/>
      <c r="O50" s="195"/>
      <c r="P50" s="261">
        <f>'Prévisionnel 2017 SCN2'!Q29</f>
        <v>10.25</v>
      </c>
      <c r="Q50" s="234">
        <v>50.0</v>
      </c>
      <c r="R50" s="195">
        <v>50.0</v>
      </c>
      <c r="S50" s="195">
        <v>50.0</v>
      </c>
      <c r="T50" s="195">
        <v>50.0</v>
      </c>
      <c r="U50" s="195">
        <v>50.0</v>
      </c>
      <c r="V50" s="195">
        <v>50.0</v>
      </c>
      <c r="W50" s="195">
        <v>50.0</v>
      </c>
      <c r="X50" s="195">
        <v>50.0</v>
      </c>
      <c r="Y50" s="195">
        <v>50.0</v>
      </c>
      <c r="Z50" s="195">
        <v>50.0</v>
      </c>
      <c r="AA50" s="195">
        <v>50.0</v>
      </c>
      <c r="AB50" s="195">
        <v>50.0</v>
      </c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</row>
    <row r="51">
      <c r="A51" s="194"/>
      <c r="B51" s="194"/>
      <c r="C51" s="203"/>
      <c r="D51" s="225" t="s">
        <v>188</v>
      </c>
      <c r="E51" s="264"/>
      <c r="F51" s="274"/>
      <c r="G51" s="274"/>
      <c r="H51" s="274"/>
      <c r="I51" s="274"/>
      <c r="J51" s="274"/>
      <c r="K51" s="274"/>
      <c r="L51" s="274"/>
      <c r="M51" s="274"/>
      <c r="N51" s="274"/>
      <c r="O51" s="274"/>
      <c r="P51" s="276"/>
      <c r="Q51" s="266"/>
      <c r="R51" s="274"/>
      <c r="S51" s="274"/>
      <c r="T51" s="274"/>
      <c r="U51" s="274"/>
      <c r="V51" s="274"/>
      <c r="W51" s="274"/>
      <c r="X51" s="274"/>
      <c r="Y51" s="274"/>
      <c r="Z51" s="274"/>
      <c r="AA51" s="274"/>
      <c r="AB51" s="274"/>
      <c r="AC51" s="194"/>
      <c r="AD51" s="194"/>
      <c r="AE51" s="194"/>
      <c r="AF51" s="194"/>
      <c r="AG51" s="194"/>
      <c r="AH51" s="194"/>
      <c r="AI51" s="194"/>
      <c r="AJ51" s="194"/>
      <c r="AK51" s="194"/>
      <c r="AL51" s="194"/>
    </row>
    <row r="52">
      <c r="A52" s="194"/>
      <c r="B52" s="194"/>
      <c r="C52" s="203"/>
      <c r="D52" s="225" t="s">
        <v>189</v>
      </c>
      <c r="E52" s="26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6"/>
      <c r="Q52" s="234">
        <f>'Prévisionnel 2017 SCN4'!F56</f>
        <v>663.1</v>
      </c>
      <c r="R52" s="195" t="str">
        <f>'Prévisionnel 2017 SCN4'!G56</f>
        <v/>
      </c>
      <c r="S52" s="195">
        <f>'Prévisionnel 2017 SCN4'!H56</f>
        <v>1500</v>
      </c>
      <c r="T52" s="195" t="str">
        <f>'Prévisionnel 2017 SCN4'!I56</f>
        <v/>
      </c>
      <c r="U52" s="195" t="str">
        <f>'Prévisionnel 2017 SCN4'!J56</f>
        <v/>
      </c>
      <c r="V52" s="195" t="str">
        <f>'Prévisionnel 2017 SCN4'!K56</f>
        <v/>
      </c>
      <c r="W52" s="195" t="str">
        <f>'Prévisionnel 2017 SCN4'!L56</f>
        <v/>
      </c>
      <c r="X52" s="195" t="str">
        <f>'Prévisionnel 2017 SCN4'!M56</f>
        <v/>
      </c>
      <c r="Y52" s="195" t="str">
        <f>'Prévisionnel 2017 SCN4'!N56</f>
        <v/>
      </c>
      <c r="Z52" s="195" t="str">
        <f>'Prévisionnel 2017 SCN4'!O56</f>
        <v/>
      </c>
      <c r="AA52" s="195" t="str">
        <f>'Prévisionnel 2017 SCN4'!P56</f>
        <v/>
      </c>
      <c r="AB52" s="195" t="str">
        <f>'Prévisionnel 2017 SCN4'!Q56</f>
        <v/>
      </c>
      <c r="AC52" s="194"/>
      <c r="AD52" s="194"/>
      <c r="AE52" s="194"/>
      <c r="AF52" s="194"/>
      <c r="AG52" s="194"/>
      <c r="AH52" s="194"/>
      <c r="AI52" s="194"/>
      <c r="AJ52" s="194"/>
      <c r="AK52" s="194"/>
      <c r="AL52" s="194"/>
    </row>
    <row r="53">
      <c r="A53" s="194"/>
      <c r="B53" s="194"/>
      <c r="C53" s="203"/>
      <c r="D53" s="225" t="s">
        <v>190</v>
      </c>
      <c r="E53" s="264"/>
      <c r="F53" s="274"/>
      <c r="G53" s="274"/>
      <c r="H53" s="274"/>
      <c r="I53" s="274"/>
      <c r="J53" s="274"/>
      <c r="K53" s="274"/>
      <c r="L53" s="274"/>
      <c r="M53" s="274"/>
      <c r="N53" s="274"/>
      <c r="O53" s="274"/>
      <c r="P53" s="276"/>
      <c r="Q53" s="234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</row>
    <row r="54">
      <c r="A54" s="194"/>
      <c r="B54" s="194"/>
      <c r="C54" s="203"/>
      <c r="D54" s="225" t="s">
        <v>191</v>
      </c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>
        <f>'Prévisionnel 2017 SCN2'!P12</f>
        <v>327.88</v>
      </c>
      <c r="P54" s="261">
        <f>'Prévisionnel 2017 SCN2'!Q12</f>
        <v>7080.76</v>
      </c>
      <c r="Q54" s="234"/>
      <c r="R54" s="195" t="str">
        <f>'Prévisionnel 2017 SCN4'!G57</f>
        <v/>
      </c>
      <c r="S54" s="195">
        <f>'Prévisionnel 2017 SCN4'!H57</f>
        <v>7000</v>
      </c>
      <c r="T54" s="195" t="str">
        <f>'Prévisionnel 2017 SCN4'!I57</f>
        <v/>
      </c>
      <c r="U54" s="195" t="str">
        <f>'Prévisionnel 2017 SCN4'!J57</f>
        <v/>
      </c>
      <c r="V54" s="195" t="str">
        <f>'Prévisionnel 2017 SCN4'!K57</f>
        <v/>
      </c>
      <c r="W54" s="195" t="str">
        <f>'Prévisionnel 2017 SCN4'!L57</f>
        <v/>
      </c>
      <c r="X54" s="195" t="str">
        <f>'Prévisionnel 2017 SCN4'!M57</f>
        <v/>
      </c>
      <c r="Y54" s="195" t="str">
        <f>'Prévisionnel 2017 SCN4'!N57</f>
        <v/>
      </c>
      <c r="Z54" s="195" t="str">
        <f>'Prévisionnel 2017 SCN4'!O57</f>
        <v/>
      </c>
      <c r="AA54" s="195" t="str">
        <f>'Prévisionnel 2017 SCN4'!P57</f>
        <v/>
      </c>
      <c r="AB54" s="195" t="str">
        <f>'Prévisionnel 2017 SCN4'!Q57</f>
        <v/>
      </c>
      <c r="AC54" s="194"/>
      <c r="AD54" s="194"/>
      <c r="AE54" s="194"/>
      <c r="AF54" s="194"/>
      <c r="AG54" s="194"/>
      <c r="AH54" s="194"/>
      <c r="AI54" s="194"/>
      <c r="AJ54" s="194"/>
      <c r="AK54" s="194"/>
      <c r="AL54" s="194"/>
    </row>
    <row r="55">
      <c r="A55" s="194"/>
      <c r="B55" s="194"/>
      <c r="C55" s="203"/>
      <c r="D55" s="225" t="s">
        <v>192</v>
      </c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261"/>
      <c r="Q55" s="266"/>
      <c r="R55" s="274"/>
      <c r="S55" s="274"/>
      <c r="T55" s="274"/>
      <c r="U55" s="274"/>
      <c r="V55" s="274"/>
      <c r="W55" s="274"/>
      <c r="X55" s="274"/>
      <c r="Y55" s="274"/>
      <c r="Z55" s="274"/>
      <c r="AA55" s="274"/>
      <c r="AB55" s="274"/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</row>
    <row r="56">
      <c r="A56" s="194"/>
      <c r="B56" s="194"/>
      <c r="C56" s="203"/>
      <c r="D56" s="225" t="s">
        <v>193</v>
      </c>
      <c r="E56" s="195"/>
      <c r="F56" s="195"/>
      <c r="G56" s="195"/>
      <c r="H56" s="195"/>
      <c r="I56" s="195"/>
      <c r="J56" s="195">
        <f>'Prévisionnel 2017 SCN2'!K13</f>
        <v>650</v>
      </c>
      <c r="K56" s="195"/>
      <c r="L56" s="195"/>
      <c r="M56" s="195"/>
      <c r="N56" s="195"/>
      <c r="O56" s="195"/>
      <c r="P56" s="261"/>
      <c r="Q56" s="234"/>
      <c r="R56" s="195"/>
      <c r="S56" s="195"/>
      <c r="T56" s="195"/>
      <c r="U56" s="195"/>
      <c r="V56" s="195"/>
      <c r="W56" s="195"/>
      <c r="X56" s="195"/>
      <c r="Y56" s="195"/>
      <c r="Z56" s="195"/>
      <c r="AA56" s="195"/>
      <c r="AB56" s="195"/>
      <c r="AC56" s="194"/>
      <c r="AD56" s="194"/>
      <c r="AE56" s="194"/>
      <c r="AF56" s="194"/>
      <c r="AG56" s="194"/>
      <c r="AH56" s="194"/>
      <c r="AI56" s="194"/>
      <c r="AJ56" s="194"/>
      <c r="AK56" s="194"/>
      <c r="AL56" s="194"/>
    </row>
    <row r="57">
      <c r="A57" s="194"/>
      <c r="B57" s="194"/>
      <c r="C57" s="203"/>
      <c r="D57" s="249" t="s">
        <v>194</v>
      </c>
      <c r="E57" s="195">
        <f>'Prévisionnel 2017 SCN2'!F30</f>
        <v>10</v>
      </c>
      <c r="F57" s="195"/>
      <c r="G57" s="195"/>
      <c r="H57" s="195"/>
      <c r="I57" s="195"/>
      <c r="J57" s="195"/>
      <c r="K57" s="195">
        <f>'Prévisionnel 2017 SCN2'!L30</f>
        <v>100</v>
      </c>
      <c r="L57" s="195">
        <f>'Prévisionnel 2017 SCN2'!M30</f>
        <v>70.75</v>
      </c>
      <c r="M57" s="195">
        <f>'Prévisionnel 2017 SCN2'!N30</f>
        <v>66.61</v>
      </c>
      <c r="N57" s="195">
        <f>'Prévisionnel 2017 SCN2'!O30</f>
        <v>97.68</v>
      </c>
      <c r="O57" s="195"/>
      <c r="P57" s="261">
        <f>'Prévisionnel 2017 SCN2'!Q30</f>
        <v>3951.92</v>
      </c>
      <c r="Q57" s="234">
        <f>'Prévisionnel 2017 SCN4'!F76</f>
        <v>59</v>
      </c>
      <c r="R57" s="195">
        <f>'Prévisionnel 2017 SCN4'!G76</f>
        <v>50</v>
      </c>
      <c r="S57" s="195">
        <f>'Prévisionnel 2017 SCN4'!H76</f>
        <v>50</v>
      </c>
      <c r="T57" s="195">
        <f>'Prévisionnel 2017 SCN4'!I76</f>
        <v>50</v>
      </c>
      <c r="U57" s="195">
        <f>'Prévisionnel 2017 SCN4'!J76</f>
        <v>50</v>
      </c>
      <c r="V57" s="195">
        <f>'Prévisionnel 2017 SCN4'!K76</f>
        <v>50</v>
      </c>
      <c r="W57" s="195">
        <f>'Prévisionnel 2017 SCN4'!L76</f>
        <v>50</v>
      </c>
      <c r="X57" s="195">
        <f>'Prévisionnel 2017 SCN4'!M76</f>
        <v>50</v>
      </c>
      <c r="Y57" s="195">
        <f>'Prévisionnel 2017 SCN4'!N76</f>
        <v>50</v>
      </c>
      <c r="Z57" s="195">
        <f>'Prévisionnel 2017 SCN4'!O76</f>
        <v>50</v>
      </c>
      <c r="AA57" s="195">
        <f>'Prévisionnel 2017 SCN4'!P76</f>
        <v>50</v>
      </c>
      <c r="AB57" s="195">
        <f>'Prévisionnel 2017 SCN4'!Q76</f>
        <v>50</v>
      </c>
      <c r="AC57" s="194"/>
      <c r="AD57" s="194"/>
      <c r="AE57" s="194"/>
      <c r="AF57" s="194"/>
      <c r="AG57" s="194"/>
      <c r="AH57" s="194"/>
      <c r="AI57" s="194"/>
      <c r="AJ57" s="194"/>
      <c r="AK57" s="194"/>
      <c r="AL57" s="194"/>
    </row>
    <row r="58">
      <c r="A58" s="194"/>
      <c r="B58" s="194"/>
      <c r="C58" s="203"/>
      <c r="D58" s="249" t="s">
        <v>209</v>
      </c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261"/>
      <c r="Q58" s="234">
        <f>'Prévisionnel 2017 SCN4'!F77</f>
        <v>961.1207311</v>
      </c>
      <c r="R58" s="234">
        <f>'Prévisionnel 2017 SCN4'!G77</f>
        <v>961.1207311</v>
      </c>
      <c r="S58" s="234">
        <f>'Prévisionnel 2017 SCN4'!H77</f>
        <v>961.1207311</v>
      </c>
      <c r="T58" s="234">
        <f>'Prévisionnel 2017 SCN4'!I77</f>
        <v>961.1207311</v>
      </c>
      <c r="U58" s="234">
        <f>'Prévisionnel 2017 SCN4'!J77</f>
        <v>961.1207311</v>
      </c>
      <c r="V58" s="234">
        <f>'Prévisionnel 2017 SCN4'!K77</f>
        <v>961.1207311</v>
      </c>
      <c r="W58" s="234">
        <f>'Prévisionnel 2017 SCN4'!L77</f>
        <v>961.1207311</v>
      </c>
      <c r="X58" s="234">
        <f>'Prévisionnel 2017 SCN4'!M77</f>
        <v>961.1207311</v>
      </c>
      <c r="Y58" s="234">
        <f>'Prévisionnel 2017 SCN4'!N77</f>
        <v>961.1207311</v>
      </c>
      <c r="Z58" s="234">
        <f>'Prévisionnel 2017 SCN4'!O77</f>
        <v>961.1207311</v>
      </c>
      <c r="AA58" s="234">
        <f>'Prévisionnel 2017 SCN4'!P77</f>
        <v>961.1207311</v>
      </c>
      <c r="AB58" s="234">
        <f>'Prévisionnel 2017 SCN4'!Q77</f>
        <v>961.1207311</v>
      </c>
      <c r="AC58" s="194"/>
      <c r="AD58" s="194"/>
      <c r="AE58" s="194"/>
      <c r="AF58" s="194"/>
      <c r="AG58" s="194"/>
      <c r="AH58" s="194"/>
      <c r="AI58" s="194"/>
      <c r="AJ58" s="194"/>
      <c r="AK58" s="194"/>
      <c r="AL58" s="194"/>
    </row>
    <row r="59">
      <c r="A59" s="194"/>
      <c r="B59" s="194"/>
      <c r="C59" s="203"/>
      <c r="D59" s="225" t="s">
        <v>196</v>
      </c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261"/>
      <c r="Q59" s="266"/>
      <c r="R59" s="264"/>
      <c r="S59" s="264"/>
      <c r="T59" s="264"/>
      <c r="U59" s="264"/>
      <c r="V59" s="264"/>
      <c r="W59" s="264"/>
      <c r="X59" s="264"/>
      <c r="Y59" s="264"/>
      <c r="Z59" s="264"/>
      <c r="AA59" s="264"/>
      <c r="AB59" s="264"/>
      <c r="AC59" s="194"/>
      <c r="AD59" s="194"/>
      <c r="AE59" s="194"/>
      <c r="AF59" s="194"/>
      <c r="AG59" s="194"/>
      <c r="AH59" s="194"/>
      <c r="AI59" s="194"/>
      <c r="AJ59" s="194"/>
      <c r="AK59" s="194"/>
      <c r="AL59" s="194"/>
    </row>
    <row r="60">
      <c r="A60" s="194"/>
      <c r="B60" s="194"/>
      <c r="C60" s="203"/>
      <c r="D60" s="253" t="s">
        <v>197</v>
      </c>
      <c r="E60" s="195">
        <f t="shared" ref="E60:AB60" si="6">SUM(E47:E59)</f>
        <v>10</v>
      </c>
      <c r="F60" s="195">
        <f t="shared" si="6"/>
        <v>13.64</v>
      </c>
      <c r="G60" s="195">
        <f t="shared" si="6"/>
        <v>0</v>
      </c>
      <c r="H60" s="195">
        <f t="shared" si="6"/>
        <v>0</v>
      </c>
      <c r="I60" s="195">
        <f t="shared" si="6"/>
        <v>29.72</v>
      </c>
      <c r="J60" s="195">
        <f t="shared" si="6"/>
        <v>650</v>
      </c>
      <c r="K60" s="195">
        <f t="shared" si="6"/>
        <v>100</v>
      </c>
      <c r="L60" s="195">
        <f t="shared" si="6"/>
        <v>70.75</v>
      </c>
      <c r="M60" s="195">
        <f t="shared" si="6"/>
        <v>126.33</v>
      </c>
      <c r="N60" s="195">
        <f t="shared" si="6"/>
        <v>97.68</v>
      </c>
      <c r="O60" s="195">
        <f t="shared" si="6"/>
        <v>327.88</v>
      </c>
      <c r="P60" s="261">
        <f t="shared" si="6"/>
        <v>11042.93</v>
      </c>
      <c r="Q60" s="234">
        <f t="shared" si="6"/>
        <v>1733.220731</v>
      </c>
      <c r="R60" s="195">
        <f t="shared" si="6"/>
        <v>1061.120731</v>
      </c>
      <c r="S60" s="195">
        <f t="shared" si="6"/>
        <v>9561.120731</v>
      </c>
      <c r="T60" s="195">
        <f t="shared" si="6"/>
        <v>1061.120731</v>
      </c>
      <c r="U60" s="195">
        <f t="shared" si="6"/>
        <v>1061.120731</v>
      </c>
      <c r="V60" s="195">
        <f t="shared" si="6"/>
        <v>1061.120731</v>
      </c>
      <c r="W60" s="195">
        <f t="shared" si="6"/>
        <v>1061.120731</v>
      </c>
      <c r="X60" s="195">
        <f t="shared" si="6"/>
        <v>1061.120731</v>
      </c>
      <c r="Y60" s="195">
        <f t="shared" si="6"/>
        <v>1061.120731</v>
      </c>
      <c r="Z60" s="195">
        <f t="shared" si="6"/>
        <v>1061.120731</v>
      </c>
      <c r="AA60" s="195">
        <f t="shared" si="6"/>
        <v>1061.120731</v>
      </c>
      <c r="AB60" s="195">
        <f t="shared" si="6"/>
        <v>1061.120731</v>
      </c>
      <c r="AC60" s="194"/>
      <c r="AD60" s="194"/>
      <c r="AE60" s="194"/>
      <c r="AF60" s="194"/>
      <c r="AG60" s="194"/>
      <c r="AH60" s="194"/>
      <c r="AI60" s="194"/>
      <c r="AJ60" s="194"/>
      <c r="AK60" s="194"/>
      <c r="AL60" s="194"/>
    </row>
    <row r="61">
      <c r="A61" s="194"/>
      <c r="B61" s="194"/>
      <c r="C61" s="203"/>
      <c r="D61" s="256" t="s">
        <v>198</v>
      </c>
      <c r="E61" s="279">
        <f t="shared" ref="E61:AB61" si="7">E45+E60</f>
        <v>2126.29</v>
      </c>
      <c r="F61" s="279">
        <f t="shared" si="7"/>
        <v>2693.79</v>
      </c>
      <c r="G61" s="279">
        <f t="shared" si="7"/>
        <v>2765.99</v>
      </c>
      <c r="H61" s="279">
        <f t="shared" si="7"/>
        <v>3610.04</v>
      </c>
      <c r="I61" s="279">
        <f t="shared" si="7"/>
        <v>3693.31</v>
      </c>
      <c r="J61" s="279">
        <f t="shared" si="7"/>
        <v>4974.57</v>
      </c>
      <c r="K61" s="279">
        <f t="shared" si="7"/>
        <v>2832.41</v>
      </c>
      <c r="L61" s="279">
        <f t="shared" si="7"/>
        <v>4516.61</v>
      </c>
      <c r="M61" s="279">
        <f t="shared" si="7"/>
        <v>5291.31</v>
      </c>
      <c r="N61" s="279">
        <f t="shared" si="7"/>
        <v>7732.77</v>
      </c>
      <c r="O61" s="279">
        <f t="shared" si="7"/>
        <v>11200.61</v>
      </c>
      <c r="P61" s="280">
        <f t="shared" si="7"/>
        <v>22825.06</v>
      </c>
      <c r="Q61" s="281">
        <f t="shared" si="7"/>
        <v>18011.45073</v>
      </c>
      <c r="R61" s="281">
        <f t="shared" si="7"/>
        <v>21022.51073</v>
      </c>
      <c r="S61" s="281">
        <f t="shared" si="7"/>
        <v>25598.91073</v>
      </c>
      <c r="T61" s="281">
        <f t="shared" si="7"/>
        <v>27388.91073</v>
      </c>
      <c r="U61" s="281">
        <f t="shared" si="7"/>
        <v>20705.91073</v>
      </c>
      <c r="V61" s="281">
        <f t="shared" si="7"/>
        <v>19338.91073</v>
      </c>
      <c r="W61" s="281">
        <f t="shared" si="7"/>
        <v>14473.91073</v>
      </c>
      <c r="X61" s="281">
        <f t="shared" si="7"/>
        <v>14460.91073</v>
      </c>
      <c r="Y61" s="281">
        <f t="shared" si="7"/>
        <v>19058.51846</v>
      </c>
      <c r="Z61" s="281">
        <f t="shared" si="7"/>
        <v>21538.91073</v>
      </c>
      <c r="AA61" s="281">
        <f t="shared" si="7"/>
        <v>20758.51846</v>
      </c>
      <c r="AB61" s="282">
        <f t="shared" si="7"/>
        <v>20370.91073</v>
      </c>
      <c r="AC61" s="194"/>
      <c r="AD61" s="194"/>
      <c r="AE61" s="194"/>
      <c r="AF61" s="194"/>
      <c r="AG61" s="194"/>
      <c r="AH61" s="194"/>
      <c r="AI61" s="194"/>
      <c r="AJ61" s="194"/>
      <c r="AK61" s="194"/>
      <c r="AL61" s="194"/>
    </row>
    <row r="62">
      <c r="A62" s="194"/>
      <c r="B62" s="194"/>
      <c r="C62" s="203"/>
      <c r="D62" s="283" t="s">
        <v>199</v>
      </c>
      <c r="E62" s="284">
        <f t="shared" ref="E62:AB62" si="8">E18-E61</f>
        <v>742.19</v>
      </c>
      <c r="F62" s="284">
        <f t="shared" si="8"/>
        <v>805.19</v>
      </c>
      <c r="G62" s="284">
        <f t="shared" si="8"/>
        <v>1235.26</v>
      </c>
      <c r="H62" s="284">
        <f t="shared" si="8"/>
        <v>513.32</v>
      </c>
      <c r="I62" s="284">
        <f t="shared" si="8"/>
        <v>463.05</v>
      </c>
      <c r="J62" s="284">
        <f t="shared" si="8"/>
        <v>-19.6</v>
      </c>
      <c r="K62" s="284">
        <f t="shared" si="8"/>
        <v>-462.06</v>
      </c>
      <c r="L62" s="284">
        <f t="shared" si="8"/>
        <v>-1349.32</v>
      </c>
      <c r="M62" s="284">
        <f t="shared" si="8"/>
        <v>4049.67</v>
      </c>
      <c r="N62" s="284">
        <f t="shared" si="8"/>
        <v>2459.32</v>
      </c>
      <c r="O62" s="284">
        <f t="shared" si="8"/>
        <v>2104.36</v>
      </c>
      <c r="P62" s="285">
        <f t="shared" si="8"/>
        <v>-8628.16</v>
      </c>
      <c r="Q62" s="284">
        <f t="shared" si="8"/>
        <v>18476.63927</v>
      </c>
      <c r="R62" s="284">
        <f t="shared" si="8"/>
        <v>-3125.170731</v>
      </c>
      <c r="S62" s="284">
        <f t="shared" si="8"/>
        <v>-1369.330731</v>
      </c>
      <c r="T62" s="284">
        <f t="shared" si="8"/>
        <v>8244.169269</v>
      </c>
      <c r="U62" s="284">
        <f t="shared" si="8"/>
        <v>-1476.330731</v>
      </c>
      <c r="V62" s="284">
        <f t="shared" si="8"/>
        <v>-209.4307311</v>
      </c>
      <c r="W62" s="284">
        <f t="shared" si="8"/>
        <v>-3244.330731</v>
      </c>
      <c r="X62" s="284">
        <f t="shared" si="8"/>
        <v>-3231.330731</v>
      </c>
      <c r="Y62" s="284">
        <f t="shared" si="8"/>
        <v>171.0615417</v>
      </c>
      <c r="Z62" s="284">
        <f t="shared" si="8"/>
        <v>-1220.830731</v>
      </c>
      <c r="AA62" s="284">
        <f t="shared" si="8"/>
        <v>-1528.938458</v>
      </c>
      <c r="AB62" s="286">
        <f t="shared" si="8"/>
        <v>13858.66927</v>
      </c>
      <c r="AC62" s="194"/>
      <c r="AD62" s="194"/>
      <c r="AE62" s="194"/>
      <c r="AF62" s="194"/>
      <c r="AG62" s="194"/>
      <c r="AH62" s="194"/>
      <c r="AI62" s="194"/>
      <c r="AJ62" s="194"/>
      <c r="AK62" s="194"/>
      <c r="AL62" s="194"/>
    </row>
    <row r="63">
      <c r="A63" s="194"/>
      <c r="B63" s="194"/>
      <c r="C63" s="203"/>
      <c r="D63" s="287" t="s">
        <v>200</v>
      </c>
      <c r="E63" s="288">
        <f t="shared" ref="E63:AB63" si="9">E6+E62</f>
        <v>2942.19</v>
      </c>
      <c r="F63" s="288">
        <f t="shared" si="9"/>
        <v>3747.38</v>
      </c>
      <c r="G63" s="288">
        <f t="shared" si="9"/>
        <v>4982.64</v>
      </c>
      <c r="H63" s="288">
        <f t="shared" si="9"/>
        <v>5495.96</v>
      </c>
      <c r="I63" s="288">
        <f t="shared" si="9"/>
        <v>5959.01</v>
      </c>
      <c r="J63" s="288">
        <f t="shared" si="9"/>
        <v>5939.41</v>
      </c>
      <c r="K63" s="288">
        <f t="shared" si="9"/>
        <v>5477.35</v>
      </c>
      <c r="L63" s="288">
        <f t="shared" si="9"/>
        <v>4128.03</v>
      </c>
      <c r="M63" s="288">
        <f t="shared" si="9"/>
        <v>8177.7</v>
      </c>
      <c r="N63" s="288">
        <f t="shared" si="9"/>
        <v>10637.02</v>
      </c>
      <c r="O63" s="288">
        <f t="shared" si="9"/>
        <v>12741.38</v>
      </c>
      <c r="P63" s="289">
        <f t="shared" si="9"/>
        <v>4113.22</v>
      </c>
      <c r="Q63" s="288">
        <f t="shared" si="9"/>
        <v>22589.85927</v>
      </c>
      <c r="R63" s="288">
        <f t="shared" si="9"/>
        <v>19464.68854</v>
      </c>
      <c r="S63" s="288">
        <f t="shared" si="9"/>
        <v>18095.35781</v>
      </c>
      <c r="T63" s="288">
        <f t="shared" si="9"/>
        <v>26339.52708</v>
      </c>
      <c r="U63" s="288">
        <f t="shared" si="9"/>
        <v>24863.19634</v>
      </c>
      <c r="V63" s="288">
        <f t="shared" si="9"/>
        <v>24653.76561</v>
      </c>
      <c r="W63" s="288">
        <f t="shared" si="9"/>
        <v>21409.43488</v>
      </c>
      <c r="X63" s="288">
        <f t="shared" si="9"/>
        <v>18178.10415</v>
      </c>
      <c r="Y63" s="288">
        <f t="shared" si="9"/>
        <v>18349.16569</v>
      </c>
      <c r="Z63" s="288">
        <f t="shared" si="9"/>
        <v>17128.33496</v>
      </c>
      <c r="AA63" s="288">
        <f t="shared" si="9"/>
        <v>15599.3965</v>
      </c>
      <c r="AB63" s="290">
        <f t="shared" si="9"/>
        <v>29458.06577</v>
      </c>
      <c r="AC63" s="194"/>
      <c r="AD63" s="194"/>
      <c r="AE63" s="194"/>
      <c r="AF63" s="194"/>
      <c r="AG63" s="194"/>
      <c r="AH63" s="194"/>
      <c r="AI63" s="194"/>
      <c r="AJ63" s="194"/>
      <c r="AK63" s="194"/>
      <c r="AL63" s="194"/>
    </row>
    <row r="64">
      <c r="A64" s="194"/>
      <c r="B64" s="194"/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6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194"/>
      <c r="AK64" s="194"/>
      <c r="AL64" s="194"/>
    </row>
    <row r="65">
      <c r="A65" s="194"/>
      <c r="B65" s="194"/>
      <c r="C65" s="194"/>
      <c r="D65" s="291" t="s">
        <v>201</v>
      </c>
      <c r="E65" s="291"/>
      <c r="F65" s="291"/>
      <c r="G65" s="291"/>
      <c r="H65" s="291"/>
      <c r="I65" s="291"/>
      <c r="J65" s="291"/>
      <c r="K65" s="291"/>
      <c r="L65" s="291"/>
      <c r="M65" s="291"/>
      <c r="N65" s="291"/>
      <c r="O65" s="291"/>
      <c r="P65" s="292"/>
      <c r="Q65" s="194"/>
      <c r="R65" s="194"/>
      <c r="S65" s="194"/>
      <c r="T65" s="194"/>
      <c r="U65" s="194"/>
      <c r="V65" s="194"/>
      <c r="W65" s="194"/>
      <c r="X65" s="194"/>
      <c r="Y65" s="194"/>
      <c r="Z65" s="194"/>
      <c r="AA65" s="194"/>
      <c r="AB65" s="194"/>
      <c r="AC65" s="194"/>
      <c r="AD65" s="194"/>
      <c r="AE65" s="194"/>
      <c r="AF65" s="194"/>
      <c r="AG65" s="194"/>
      <c r="AH65" s="194"/>
      <c r="AI65" s="194"/>
      <c r="AJ65" s="194"/>
      <c r="AK65" s="194"/>
      <c r="AL65" s="194"/>
    </row>
    <row r="66">
      <c r="A66" s="194"/>
      <c r="B66" s="194"/>
      <c r="C66" s="194"/>
      <c r="D66" s="293" t="s">
        <v>202</v>
      </c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194"/>
      <c r="AK66" s="194"/>
      <c r="AL66" s="194"/>
    </row>
    <row r="67">
      <c r="A67" s="194"/>
      <c r="B67" s="194"/>
      <c r="C67" s="194"/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6"/>
      <c r="Q67" s="194"/>
      <c r="R67" s="194"/>
      <c r="S67" s="194"/>
      <c r="T67" s="194"/>
      <c r="U67" s="194"/>
      <c r="V67" s="194"/>
      <c r="W67" s="194"/>
      <c r="X67" s="194"/>
      <c r="Y67" s="194"/>
      <c r="Z67" s="194"/>
      <c r="AA67" s="194"/>
      <c r="AB67" s="194"/>
      <c r="AC67" s="194"/>
      <c r="AD67" s="194"/>
      <c r="AE67" s="194"/>
      <c r="AF67" s="194"/>
      <c r="AG67" s="194"/>
      <c r="AH67" s="194"/>
      <c r="AI67" s="194"/>
      <c r="AJ67" s="194"/>
      <c r="AK67" s="194"/>
      <c r="AL67" s="194"/>
    </row>
    <row r="68">
      <c r="A68" s="194"/>
      <c r="B68" s="194"/>
      <c r="C68" s="194"/>
      <c r="D68" s="294" t="s">
        <v>203</v>
      </c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294"/>
      <c r="P68" s="295"/>
      <c r="Q68" s="194"/>
      <c r="R68" s="194"/>
      <c r="S68" s="194"/>
      <c r="T68" s="194"/>
      <c r="U68" s="194"/>
      <c r="V68" s="194"/>
      <c r="W68" s="194"/>
      <c r="X68" s="194"/>
      <c r="Y68" s="194"/>
      <c r="Z68" s="194"/>
      <c r="AA68" s="194"/>
      <c r="AB68" s="194"/>
      <c r="AC68" s="194"/>
      <c r="AD68" s="194"/>
      <c r="AE68" s="194"/>
      <c r="AF68" s="194"/>
      <c r="AG68" s="194"/>
      <c r="AH68" s="194"/>
      <c r="AI68" s="194"/>
      <c r="AJ68" s="194"/>
      <c r="AK68" s="194"/>
      <c r="AL68" s="194"/>
    </row>
    <row r="69">
      <c r="A69" s="194"/>
      <c r="B69" s="194"/>
      <c r="C69" s="194"/>
      <c r="D69" s="296" t="s">
        <v>204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194"/>
      <c r="AB69" s="194"/>
      <c r="AC69" s="194"/>
      <c r="AD69" s="194"/>
      <c r="AE69" s="194"/>
      <c r="AF69" s="194"/>
      <c r="AG69" s="194"/>
      <c r="AH69" s="194"/>
      <c r="AI69" s="194"/>
      <c r="AJ69" s="194"/>
      <c r="AK69" s="194"/>
      <c r="AL69" s="194"/>
    </row>
    <row r="70">
      <c r="A70" s="194"/>
      <c r="B70" s="194"/>
      <c r="C70" s="194"/>
      <c r="D70" s="13"/>
      <c r="AA70" s="194"/>
      <c r="AB70" s="194"/>
      <c r="AC70" s="194"/>
      <c r="AD70" s="194"/>
      <c r="AE70" s="194"/>
      <c r="AF70" s="194"/>
      <c r="AG70" s="194"/>
      <c r="AH70" s="194"/>
      <c r="AI70" s="194"/>
      <c r="AJ70" s="194"/>
      <c r="AK70" s="194"/>
      <c r="AL70" s="194"/>
    </row>
    <row r="71">
      <c r="A71" s="194"/>
      <c r="B71" s="194"/>
      <c r="C71" s="194"/>
      <c r="D71" s="1"/>
      <c r="Y71" s="194"/>
      <c r="Z71" s="194"/>
      <c r="AA71" s="194"/>
      <c r="AB71" s="194"/>
      <c r="AC71" s="194"/>
      <c r="AD71" s="194"/>
      <c r="AE71" s="194"/>
      <c r="AF71" s="194"/>
      <c r="AG71" s="194"/>
      <c r="AH71" s="194"/>
      <c r="AI71" s="194"/>
      <c r="AJ71" s="194"/>
      <c r="AK71" s="194"/>
      <c r="AL71" s="194"/>
    </row>
    <row r="72">
      <c r="A72" s="194"/>
      <c r="B72" s="194"/>
      <c r="C72" s="194"/>
      <c r="D72" s="297" t="s">
        <v>205</v>
      </c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194"/>
      <c r="AB72" s="194"/>
      <c r="AC72" s="194"/>
      <c r="AD72" s="194"/>
      <c r="AE72" s="194"/>
      <c r="AF72" s="194"/>
      <c r="AG72" s="194"/>
      <c r="AH72" s="194"/>
      <c r="AI72" s="194"/>
      <c r="AJ72" s="194"/>
      <c r="AK72" s="194"/>
      <c r="AL72" s="194"/>
    </row>
    <row r="73">
      <c r="A73" s="1"/>
      <c r="X73" s="194"/>
      <c r="Y73" s="194"/>
      <c r="Z73" s="194"/>
      <c r="AA73" s="194"/>
      <c r="AB73" s="194"/>
      <c r="AC73" s="194"/>
      <c r="AD73" s="194"/>
      <c r="AE73" s="194"/>
      <c r="AF73" s="194"/>
      <c r="AG73" s="194"/>
      <c r="AH73" s="194"/>
      <c r="AI73" s="194"/>
      <c r="AJ73" s="194"/>
      <c r="AK73" s="194"/>
      <c r="AL73" s="1"/>
    </row>
    <row r="74">
      <c r="A74" s="194"/>
      <c r="B74" s="194"/>
      <c r="C74" s="194"/>
      <c r="D74" s="298" t="s">
        <v>206</v>
      </c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194"/>
      <c r="Z74" s="194"/>
      <c r="AA74" s="194"/>
      <c r="AB74" s="194"/>
      <c r="AC74" s="194"/>
      <c r="AD74" s="194"/>
      <c r="AE74" s="194"/>
      <c r="AF74" s="194"/>
      <c r="AG74" s="194"/>
      <c r="AH74" s="194"/>
      <c r="AI74" s="194"/>
      <c r="AJ74" s="194"/>
      <c r="AK74" s="194"/>
      <c r="AL74" s="194"/>
    </row>
    <row r="75">
      <c r="A75" s="194"/>
      <c r="B75" s="194"/>
      <c r="C75" s="194"/>
      <c r="D75" s="1"/>
      <c r="Y75" s="194"/>
      <c r="Z75" s="194"/>
      <c r="AA75" s="194"/>
      <c r="AB75" s="194"/>
      <c r="AC75" s="194"/>
      <c r="AD75" s="194"/>
      <c r="AE75" s="194"/>
      <c r="AF75" s="194"/>
      <c r="AG75" s="194"/>
      <c r="AH75" s="194"/>
      <c r="AI75" s="194"/>
      <c r="AJ75" s="194"/>
      <c r="AK75" s="194"/>
      <c r="AL75" s="194"/>
    </row>
    <row r="76">
      <c r="A76" s="194"/>
      <c r="B76" s="194"/>
      <c r="C76" s="194"/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6"/>
      <c r="Q76" s="194"/>
      <c r="R76" s="194"/>
      <c r="S76" s="194"/>
      <c r="T76" s="194"/>
      <c r="U76" s="194"/>
      <c r="V76" s="194"/>
      <c r="W76" s="194"/>
      <c r="X76" s="194"/>
      <c r="Y76" s="194"/>
      <c r="Z76" s="194"/>
      <c r="AA76" s="299"/>
      <c r="AB76" s="194"/>
      <c r="AC76" s="194"/>
      <c r="AD76" s="194"/>
      <c r="AE76" s="194"/>
      <c r="AF76" s="194"/>
      <c r="AG76" s="194"/>
      <c r="AH76" s="194"/>
      <c r="AI76" s="194"/>
      <c r="AJ76" s="194"/>
      <c r="AK76" s="194"/>
      <c r="AL76" s="194"/>
    </row>
    <row r="77">
      <c r="A77" s="194"/>
      <c r="B77" s="194"/>
      <c r="C77" s="299"/>
      <c r="D77" s="1"/>
      <c r="Y77" s="194"/>
      <c r="Z77" s="194"/>
      <c r="AA77" s="194"/>
      <c r="AB77" s="194"/>
      <c r="AC77" s="194"/>
      <c r="AD77" s="194"/>
      <c r="AE77" s="194"/>
      <c r="AF77" s="194"/>
      <c r="AG77" s="194"/>
      <c r="AH77" s="194"/>
      <c r="AI77" s="194"/>
      <c r="AJ77" s="194"/>
      <c r="AK77" s="194"/>
      <c r="AL77" s="194"/>
    </row>
    <row r="78">
      <c r="A78" s="194"/>
      <c r="B78" s="194"/>
      <c r="C78" s="194"/>
      <c r="D78" s="194"/>
      <c r="E78" s="194"/>
      <c r="F78" s="194"/>
      <c r="G78" s="194"/>
      <c r="H78" s="194"/>
      <c r="I78" s="194"/>
      <c r="J78" s="194"/>
      <c r="K78" s="194"/>
      <c r="L78" s="194"/>
      <c r="M78" s="194"/>
      <c r="N78" s="194"/>
      <c r="O78" s="194"/>
      <c r="P78" s="196"/>
      <c r="Q78" s="194"/>
      <c r="R78" s="194"/>
      <c r="S78" s="194"/>
      <c r="T78" s="194"/>
      <c r="U78" s="194"/>
      <c r="V78" s="194"/>
      <c r="W78" s="194"/>
      <c r="X78" s="194"/>
      <c r="Y78" s="194"/>
      <c r="Z78" s="194"/>
      <c r="AA78" s="299"/>
      <c r="AB78" s="194"/>
      <c r="AC78" s="194"/>
      <c r="AD78" s="194"/>
      <c r="AE78" s="194"/>
      <c r="AF78" s="194"/>
      <c r="AG78" s="194"/>
      <c r="AH78" s="194"/>
      <c r="AI78" s="194"/>
      <c r="AJ78" s="194"/>
      <c r="AK78" s="194"/>
      <c r="AL78" s="194"/>
    </row>
    <row r="79">
      <c r="A79" s="194"/>
      <c r="B79" s="194"/>
      <c r="C79" s="299"/>
      <c r="D79" s="194"/>
      <c r="E79" s="194"/>
      <c r="F79" s="194"/>
      <c r="G79" s="194"/>
      <c r="H79" s="194"/>
      <c r="I79" s="194"/>
      <c r="J79" s="194"/>
      <c r="K79" s="194"/>
      <c r="L79" s="194"/>
      <c r="M79" s="194"/>
      <c r="N79" s="194"/>
      <c r="O79" s="194"/>
      <c r="P79" s="196"/>
      <c r="Q79" s="194"/>
      <c r="R79" s="194"/>
      <c r="S79" s="194"/>
      <c r="T79" s="194"/>
      <c r="U79" s="194"/>
      <c r="V79" s="194"/>
      <c r="W79" s="194"/>
      <c r="X79" s="194"/>
      <c r="Y79" s="194"/>
      <c r="Z79" s="194"/>
      <c r="AA79" s="194"/>
      <c r="AB79" s="194"/>
      <c r="AC79" s="194"/>
      <c r="AD79" s="194"/>
      <c r="AE79" s="194"/>
      <c r="AF79" s="194"/>
      <c r="AG79" s="194"/>
      <c r="AH79" s="194"/>
      <c r="AI79" s="194"/>
      <c r="AJ79" s="194"/>
      <c r="AK79" s="194"/>
      <c r="AL79" s="194"/>
    </row>
    <row r="80">
      <c r="A80" s="194"/>
      <c r="B80" s="194"/>
      <c r="C80" s="194"/>
      <c r="D80" s="194"/>
      <c r="E80" s="194"/>
      <c r="F80" s="194"/>
      <c r="G80" s="194"/>
      <c r="H80" s="194"/>
      <c r="I80" s="194"/>
      <c r="J80" s="194"/>
      <c r="K80" s="194"/>
      <c r="L80" s="194"/>
      <c r="M80" s="194"/>
      <c r="N80" s="194"/>
      <c r="O80" s="194"/>
      <c r="P80" s="196"/>
      <c r="Q80" s="194"/>
      <c r="R80" s="194"/>
      <c r="S80" s="194"/>
      <c r="T80" s="194"/>
      <c r="U80" s="194"/>
      <c r="V80" s="194"/>
      <c r="W80" s="194"/>
      <c r="X80" s="194"/>
      <c r="Y80" s="194"/>
      <c r="Z80" s="194"/>
      <c r="AA80" s="194"/>
      <c r="AB80" s="194"/>
      <c r="AC80" s="194"/>
      <c r="AD80" s="194"/>
      <c r="AE80" s="194"/>
      <c r="AF80" s="194"/>
      <c r="AG80" s="194"/>
      <c r="AH80" s="194"/>
      <c r="AI80" s="194"/>
      <c r="AJ80" s="194"/>
      <c r="AK80" s="194"/>
      <c r="AL80" s="194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300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</sheetData>
  <mergeCells count="41">
    <mergeCell ref="I4:I5"/>
    <mergeCell ref="K4:K5"/>
    <mergeCell ref="J4:J5"/>
    <mergeCell ref="P4:P5"/>
    <mergeCell ref="E4:E5"/>
    <mergeCell ref="F4:F5"/>
    <mergeCell ref="G4:G5"/>
    <mergeCell ref="H4:H5"/>
    <mergeCell ref="E7:P8"/>
    <mergeCell ref="L4:L5"/>
    <mergeCell ref="AA4:AA5"/>
    <mergeCell ref="AB4:AB5"/>
    <mergeCell ref="U4:U5"/>
    <mergeCell ref="V4:V5"/>
    <mergeCell ref="M4:M5"/>
    <mergeCell ref="N4:N5"/>
    <mergeCell ref="R4:R5"/>
    <mergeCell ref="Q4:Q5"/>
    <mergeCell ref="O4:O5"/>
    <mergeCell ref="S4:S5"/>
    <mergeCell ref="Q7:AB8"/>
    <mergeCell ref="Q19:AB19"/>
    <mergeCell ref="Q46:AB46"/>
    <mergeCell ref="Z4:Z5"/>
    <mergeCell ref="X4:X5"/>
    <mergeCell ref="Y4:Y5"/>
    <mergeCell ref="T4:T5"/>
    <mergeCell ref="Q1:AB1"/>
    <mergeCell ref="W4:W5"/>
    <mergeCell ref="Q20:AB21"/>
    <mergeCell ref="D69:Z70"/>
    <mergeCell ref="D66:X66"/>
    <mergeCell ref="E46:P46"/>
    <mergeCell ref="D71:X71"/>
    <mergeCell ref="D72:Z72"/>
    <mergeCell ref="A73:W73"/>
    <mergeCell ref="D74:X74"/>
    <mergeCell ref="D77:X77"/>
    <mergeCell ref="D75:X75"/>
    <mergeCell ref="E19:P19"/>
    <mergeCell ref="E20:P21"/>
  </mergeCell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1.22" defaultRowHeight="15.0"/>
  <cols>
    <col customWidth="1" min="1" max="1" width="18.0"/>
    <col customWidth="1" min="2" max="10" width="10.44"/>
  </cols>
  <sheetData>
    <row r="1" ht="16.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ht="15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ht="15.7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ht="15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ht="15.75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ht="15.7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ht="15.75" customHeight="1">
      <c r="A7" s="1"/>
      <c r="B7" s="1"/>
      <c r="C7" s="1"/>
      <c r="D7" s="1"/>
      <c r="E7" s="1"/>
      <c r="F7" s="1"/>
      <c r="G7" s="1"/>
      <c r="H7" s="1"/>
      <c r="I7" s="1"/>
      <c r="J7" s="1"/>
    </row>
    <row r="8" ht="15.75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9" ht="16.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ht="16.5" customHeigh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ht="15.75" customHeight="1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ht="15.75" customHeight="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ht="15.75" customHeight="1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ht="15.75" customHeight="1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ht="15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ht="15.75" customHeight="1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ht="15.75" customHeight="1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ht="15.75" customHeight="1">
      <c r="A23" s="1"/>
      <c r="B23" s="326"/>
      <c r="C23" s="1"/>
      <c r="D23" s="1"/>
      <c r="E23" s="1"/>
      <c r="F23" s="1"/>
      <c r="G23" s="1"/>
      <c r="H23" s="1"/>
      <c r="I23" s="1"/>
      <c r="J23" s="1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</row>
    <row r="25">
      <c r="A25" s="1"/>
      <c r="B25" s="1"/>
      <c r="C25" s="1"/>
      <c r="D25" s="1"/>
      <c r="E25" s="1"/>
      <c r="F25" s="1"/>
      <c r="G25" s="1"/>
      <c r="H25" s="1"/>
      <c r="I25" s="1"/>
      <c r="J25" s="1"/>
    </row>
  </sheetData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1.22" defaultRowHeight="15.0"/>
  <cols>
    <col customWidth="1" min="1" max="1" width="18.0"/>
    <col customWidth="1" min="2" max="26" width="10.44"/>
  </cols>
  <sheetData>
    <row r="1" ht="16.5" customHeight="1">
      <c r="A1" s="1"/>
      <c r="B1" s="1"/>
      <c r="C1" s="35">
        <v>42370.0</v>
      </c>
      <c r="D1" s="35">
        <v>42401.0</v>
      </c>
      <c r="E1" s="35">
        <v>42430.0</v>
      </c>
      <c r="F1" s="35">
        <v>42461.0</v>
      </c>
      <c r="G1" s="35">
        <v>42491.0</v>
      </c>
      <c r="H1" s="35">
        <v>42522.0</v>
      </c>
      <c r="I1" s="35">
        <v>42552.0</v>
      </c>
      <c r="J1" s="35">
        <v>42583.0</v>
      </c>
      <c r="K1" s="35">
        <v>42614.0</v>
      </c>
      <c r="L1" s="35">
        <v>42644.0</v>
      </c>
      <c r="M1" s="35">
        <v>42675.0</v>
      </c>
      <c r="N1" s="37">
        <v>42705.0</v>
      </c>
      <c r="O1" s="304">
        <v>42736.0</v>
      </c>
      <c r="P1" s="304">
        <v>42767.0</v>
      </c>
      <c r="Q1" s="304">
        <v>42795.0</v>
      </c>
      <c r="R1" s="304">
        <v>42826.0</v>
      </c>
      <c r="S1" s="304">
        <v>42856.0</v>
      </c>
      <c r="T1" s="304">
        <v>42887.0</v>
      </c>
      <c r="U1" s="304">
        <v>42917.0</v>
      </c>
      <c r="V1" s="304">
        <v>42948.0</v>
      </c>
      <c r="W1" s="304">
        <v>42979.0</v>
      </c>
      <c r="X1" s="304">
        <v>43009.0</v>
      </c>
      <c r="Y1" s="304">
        <v>43040.0</v>
      </c>
      <c r="Z1" s="305">
        <v>43070.0</v>
      </c>
    </row>
    <row r="2" ht="15.75" customHeight="1">
      <c r="A2" s="306" t="s">
        <v>210</v>
      </c>
      <c r="B2" s="307">
        <f t="shared" ref="B2:B3" si="1">+SUM(C2:N2)</f>
        <v>56481.18</v>
      </c>
      <c r="C2" s="308">
        <v>2608.48</v>
      </c>
      <c r="D2" s="308">
        <v>2513.98</v>
      </c>
      <c r="E2" s="308">
        <v>3156.25</v>
      </c>
      <c r="F2" s="308">
        <v>3298.3599999999997</v>
      </c>
      <c r="G2" s="308">
        <v>3691.36</v>
      </c>
      <c r="H2" s="308">
        <v>4474.97</v>
      </c>
      <c r="I2" s="308">
        <v>2165.3500000000004</v>
      </c>
      <c r="J2" s="308">
        <v>2912.29</v>
      </c>
      <c r="K2" s="308">
        <v>5720.98</v>
      </c>
      <c r="L2" s="308">
        <v>5947.19</v>
      </c>
      <c r="M2" s="308">
        <f>'Prévisionnel 2017 SCN1'!P5</f>
        <v>8590.02</v>
      </c>
      <c r="N2" s="308">
        <f>'Prévisionnel 2017 SCN1'!Q5</f>
        <v>11401.95</v>
      </c>
      <c r="O2" s="226">
        <f>'Prévisionnel 2017 SCN1'!F49</f>
        <v>9467.85</v>
      </c>
      <c r="P2" s="226">
        <v>6500.0</v>
      </c>
      <c r="Q2" s="226">
        <v>6500.0</v>
      </c>
      <c r="R2" s="226">
        <v>6500.0</v>
      </c>
      <c r="S2" s="226">
        <v>6500.0</v>
      </c>
      <c r="T2" s="226">
        <v>6500.0</v>
      </c>
      <c r="U2" s="226">
        <v>2500.0</v>
      </c>
      <c r="V2" s="226">
        <v>2500.0</v>
      </c>
      <c r="W2" s="226">
        <v>6500.0</v>
      </c>
      <c r="X2" s="226">
        <v>6500.0</v>
      </c>
      <c r="Y2" s="226">
        <v>6500.0</v>
      </c>
      <c r="Z2" s="226">
        <v>6500.0</v>
      </c>
    </row>
    <row r="3" ht="15.75" customHeight="1">
      <c r="A3" s="306" t="s">
        <v>211</v>
      </c>
      <c r="B3" s="307">
        <f t="shared" si="1"/>
        <v>50108.64</v>
      </c>
      <c r="C3" s="309">
        <v>2052.17</v>
      </c>
      <c r="D3" s="226">
        <v>2632.85</v>
      </c>
      <c r="E3" s="226">
        <v>2718.6899999999996</v>
      </c>
      <c r="F3" s="226">
        <v>3501.68</v>
      </c>
      <c r="G3" s="226">
        <v>3254.84</v>
      </c>
      <c r="H3" s="226">
        <v>3496.88</v>
      </c>
      <c r="I3" s="226">
        <v>1901.8200000000002</v>
      </c>
      <c r="J3" s="226">
        <v>2222.31</v>
      </c>
      <c r="K3" s="226">
        <v>4826.15</v>
      </c>
      <c r="L3" s="308">
        <v>5957.03</v>
      </c>
      <c r="M3" s="308">
        <v>7142.99</v>
      </c>
      <c r="N3" s="308">
        <v>10401.23</v>
      </c>
      <c r="O3" s="310">
        <f>+(O2*0.8)+4000</f>
        <v>11574.28</v>
      </c>
      <c r="P3" s="226">
        <f t="shared" ref="P3:Z3" si="2">+P2*0.82</f>
        <v>5330</v>
      </c>
      <c r="Q3" s="226">
        <f t="shared" si="2"/>
        <v>5330</v>
      </c>
      <c r="R3" s="226">
        <f t="shared" si="2"/>
        <v>5330</v>
      </c>
      <c r="S3" s="226">
        <f t="shared" si="2"/>
        <v>5330</v>
      </c>
      <c r="T3" s="226">
        <f t="shared" si="2"/>
        <v>5330</v>
      </c>
      <c r="U3" s="226">
        <f t="shared" si="2"/>
        <v>2050</v>
      </c>
      <c r="V3" s="226">
        <f t="shared" si="2"/>
        <v>2050</v>
      </c>
      <c r="W3" s="226">
        <f t="shared" si="2"/>
        <v>5330</v>
      </c>
      <c r="X3" s="226">
        <f t="shared" si="2"/>
        <v>5330</v>
      </c>
      <c r="Y3" s="226">
        <f t="shared" si="2"/>
        <v>5330</v>
      </c>
      <c r="Z3" s="226">
        <f t="shared" si="2"/>
        <v>5330</v>
      </c>
    </row>
    <row r="4" ht="15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5.75" customHeight="1">
      <c r="A5" s="306" t="s">
        <v>212</v>
      </c>
      <c r="B5" s="307">
        <f>SUM(C5:Z5)</f>
        <v>162684.591</v>
      </c>
      <c r="C5" s="308">
        <v>2608.48</v>
      </c>
      <c r="D5" s="308">
        <v>2513.98</v>
      </c>
      <c r="E5" s="308">
        <v>3156.25</v>
      </c>
      <c r="F5" s="308">
        <v>3298.3599999999997</v>
      </c>
      <c r="G5" s="308">
        <v>3691.36</v>
      </c>
      <c r="H5" s="308">
        <v>4474.97</v>
      </c>
      <c r="I5" s="308">
        <v>2165.3500000000004</v>
      </c>
      <c r="J5" s="308">
        <v>2912.29</v>
      </c>
      <c r="K5" s="308">
        <v>5720.98</v>
      </c>
      <c r="L5" s="308">
        <v>5947.19</v>
      </c>
      <c r="M5" s="308">
        <v>8590.02</v>
      </c>
      <c r="N5" s="308">
        <v>11401.95</v>
      </c>
      <c r="O5" s="226">
        <v>9467.85</v>
      </c>
      <c r="P5" s="226">
        <f t="shared" ref="P5:T5" si="3">P15*P12</f>
        <v>8629.53</v>
      </c>
      <c r="Q5" s="226">
        <f t="shared" si="3"/>
        <v>8968.83</v>
      </c>
      <c r="R5" s="226">
        <f t="shared" si="3"/>
        <v>8958.651</v>
      </c>
      <c r="S5" s="226">
        <f t="shared" si="3"/>
        <v>9297.951</v>
      </c>
      <c r="T5" s="226">
        <f t="shared" si="3"/>
        <v>9524.151</v>
      </c>
      <c r="U5" s="226">
        <f t="shared" ref="U5:V5" si="4">U15*U12/2</f>
        <v>4768.8615</v>
      </c>
      <c r="V5" s="226">
        <f t="shared" si="4"/>
        <v>4938.5115</v>
      </c>
      <c r="W5" s="226">
        <f t="shared" ref="W5:Z5" si="5">W15*W12</f>
        <v>10216.323</v>
      </c>
      <c r="X5" s="226">
        <f t="shared" si="5"/>
        <v>10138.284</v>
      </c>
      <c r="Y5" s="226">
        <f t="shared" si="5"/>
        <v>10477.584</v>
      </c>
      <c r="Z5" s="226">
        <f t="shared" si="5"/>
        <v>10816.884</v>
      </c>
    </row>
    <row r="6" ht="15.75" customHeight="1">
      <c r="A6" s="306" t="s">
        <v>213</v>
      </c>
      <c r="B6" s="307"/>
      <c r="C6" s="309">
        <v>2052.17</v>
      </c>
      <c r="D6" s="226">
        <v>2632.85</v>
      </c>
      <c r="E6" s="226">
        <v>2718.6899999999996</v>
      </c>
      <c r="F6" s="226">
        <v>3501.68</v>
      </c>
      <c r="G6" s="226">
        <v>3254.84</v>
      </c>
      <c r="H6" s="226">
        <v>3496.88</v>
      </c>
      <c r="I6" s="226">
        <v>1901.8200000000002</v>
      </c>
      <c r="J6" s="226">
        <v>2222.31</v>
      </c>
      <c r="K6" s="226">
        <v>4826.15</v>
      </c>
      <c r="L6" s="308">
        <v>5957.03</v>
      </c>
      <c r="M6" s="308">
        <v>7142.99</v>
      </c>
      <c r="N6" s="308">
        <v>10401.23</v>
      </c>
      <c r="O6" s="310">
        <f>+(O5*0.8)+4000</f>
        <v>11574.28</v>
      </c>
      <c r="P6" s="226">
        <f t="shared" ref="P6:Z6" si="6">+P5*0.82</f>
        <v>7076.2146</v>
      </c>
      <c r="Q6" s="226">
        <f t="shared" si="6"/>
        <v>7354.4406</v>
      </c>
      <c r="R6" s="226">
        <f t="shared" si="6"/>
        <v>7346.09382</v>
      </c>
      <c r="S6" s="226">
        <f t="shared" si="6"/>
        <v>7624.31982</v>
      </c>
      <c r="T6" s="226">
        <f t="shared" si="6"/>
        <v>7809.80382</v>
      </c>
      <c r="U6" s="226">
        <f t="shared" si="6"/>
        <v>3910.46643</v>
      </c>
      <c r="V6" s="226">
        <f t="shared" si="6"/>
        <v>4049.57943</v>
      </c>
      <c r="W6" s="226">
        <f t="shared" si="6"/>
        <v>8377.38486</v>
      </c>
      <c r="X6" s="226">
        <f t="shared" si="6"/>
        <v>8313.39288</v>
      </c>
      <c r="Y6" s="226">
        <f t="shared" si="6"/>
        <v>8591.61888</v>
      </c>
      <c r="Z6" s="226">
        <f t="shared" si="6"/>
        <v>8869.84488</v>
      </c>
    </row>
    <row r="7" ht="15.75" customHeight="1">
      <c r="A7" s="1"/>
      <c r="B7" s="1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311"/>
      <c r="O7" s="310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311"/>
    </row>
    <row r="8" ht="15.75" customHeight="1">
      <c r="A8" s="306" t="s">
        <v>25</v>
      </c>
      <c r="B8" s="307">
        <f>+SUM(C8:N8)</f>
        <v>10920</v>
      </c>
      <c r="C8" s="309">
        <v>265.0</v>
      </c>
      <c r="D8" s="226">
        <v>940.0</v>
      </c>
      <c r="E8" s="226">
        <v>805.0</v>
      </c>
      <c r="F8" s="226">
        <v>735.0</v>
      </c>
      <c r="G8" s="226">
        <v>415.0</v>
      </c>
      <c r="H8" s="226">
        <v>380.0</v>
      </c>
      <c r="I8" s="226">
        <v>210.0</v>
      </c>
      <c r="J8" s="226">
        <v>240.0</v>
      </c>
      <c r="K8" s="226">
        <v>1115.0</v>
      </c>
      <c r="L8" s="226">
        <v>1640.0</v>
      </c>
      <c r="M8" s="226">
        <v>3200.0</v>
      </c>
      <c r="N8" s="311">
        <v>975.0</v>
      </c>
      <c r="O8" s="226">
        <f>2820*0.7+30*16.67</f>
        <v>2474.1</v>
      </c>
      <c r="P8" s="226">
        <f t="shared" ref="P8:Q8" si="7">30*16.67</f>
        <v>500.1</v>
      </c>
      <c r="Q8" s="226">
        <f t="shared" si="7"/>
        <v>500.1</v>
      </c>
      <c r="R8" s="226">
        <f>30*16.67+('Prévisionnel 2017 SCN1'!F6+'Prévisionnel 2017 SCN1'!G6+'Prévisionnel 2017 SCN1'!H6)*0.7</f>
        <v>1903.6</v>
      </c>
      <c r="S8" s="226">
        <f>30*16.67</f>
        <v>500.1</v>
      </c>
      <c r="T8" s="226">
        <f>20*16.67</f>
        <v>333.4</v>
      </c>
      <c r="U8" s="226">
        <f>30*16.67+('Prévisionnel 2017 SCN1'!I6+'Prévisionnel 2017 SCN1'!J6+'Prévisionnel 2017 SCN1'!K6)*0.7</f>
        <v>1609.6</v>
      </c>
      <c r="V8" s="226">
        <f t="shared" ref="V8:W8" si="8">30*16.67</f>
        <v>500.1</v>
      </c>
      <c r="W8" s="226">
        <f t="shared" si="8"/>
        <v>500.1</v>
      </c>
      <c r="X8" s="226">
        <f>30*16.67+('Prévisionnel 2017 SCN1'!L6+'Prévisionnel 2017 SCN1'!M6+'Prévisionnel 2017 SCN1'!N6)*0.7</f>
        <v>1588.6</v>
      </c>
      <c r="Y8" s="226">
        <f t="shared" ref="Y8:Z8" si="9">30*16.67</f>
        <v>500.1</v>
      </c>
      <c r="Z8" s="311">
        <f t="shared" si="9"/>
        <v>500.1</v>
      </c>
    </row>
    <row r="9" ht="16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6.5" customHeight="1">
      <c r="A10" s="137" t="s">
        <v>214</v>
      </c>
      <c r="B10" s="312"/>
      <c r="C10" s="313">
        <f t="shared" ref="C10:N10" si="10">+C12/C11</f>
        <v>0.5578231293</v>
      </c>
      <c r="D10" s="314">
        <f t="shared" si="10"/>
        <v>0.4512820513</v>
      </c>
      <c r="E10" s="314">
        <f t="shared" si="10"/>
        <v>0.3849372385</v>
      </c>
      <c r="F10" s="314">
        <f t="shared" si="10"/>
        <v>0.3066202091</v>
      </c>
      <c r="G10" s="314">
        <f t="shared" si="10"/>
        <v>0.3202614379</v>
      </c>
      <c r="H10" s="314">
        <f t="shared" si="10"/>
        <v>0.3353846154</v>
      </c>
      <c r="I10" s="314">
        <f t="shared" si="10"/>
        <v>0.1701492537</v>
      </c>
      <c r="J10" s="314">
        <f t="shared" si="10"/>
        <v>0.2225433526</v>
      </c>
      <c r="K10" s="314">
        <f t="shared" si="10"/>
        <v>0.378238342</v>
      </c>
      <c r="L10" s="314">
        <f t="shared" si="10"/>
        <v>0.3340611354</v>
      </c>
      <c r="M10" s="314">
        <f t="shared" si="10"/>
        <v>0.2922824302</v>
      </c>
      <c r="N10" s="314">
        <f t="shared" si="10"/>
        <v>0.2900763359</v>
      </c>
      <c r="O10" s="314">
        <v>0.29</v>
      </c>
      <c r="P10" s="314">
        <v>0.29</v>
      </c>
      <c r="Q10" s="314">
        <v>0.29</v>
      </c>
      <c r="R10" s="314">
        <v>0.29</v>
      </c>
      <c r="S10" s="314">
        <v>0.29</v>
      </c>
      <c r="T10" s="314">
        <v>0.29</v>
      </c>
      <c r="U10" s="314">
        <v>0.29</v>
      </c>
      <c r="V10" s="314">
        <v>0.29</v>
      </c>
      <c r="W10" s="314">
        <v>0.29</v>
      </c>
      <c r="X10" s="314">
        <v>0.29</v>
      </c>
      <c r="Y10" s="314">
        <v>0.29</v>
      </c>
      <c r="Z10" s="314">
        <v>0.29</v>
      </c>
    </row>
    <row r="11" ht="15.75" customHeight="1">
      <c r="A11" s="306" t="s">
        <v>215</v>
      </c>
      <c r="B11" s="315"/>
      <c r="C11" s="316">
        <v>147.0</v>
      </c>
      <c r="D11" s="317">
        <v>195.0</v>
      </c>
      <c r="E11" s="317">
        <v>239.0</v>
      </c>
      <c r="F11" s="317">
        <v>287.0</v>
      </c>
      <c r="G11" s="317">
        <v>306.0</v>
      </c>
      <c r="H11" s="317">
        <v>325.0</v>
      </c>
      <c r="I11" s="317">
        <v>335.0</v>
      </c>
      <c r="J11" s="317">
        <v>346.0</v>
      </c>
      <c r="K11" s="317">
        <v>386.0</v>
      </c>
      <c r="L11" s="317">
        <v>458.0</v>
      </c>
      <c r="M11" s="317">
        <v>609.0</v>
      </c>
      <c r="N11" s="317">
        <v>655.0</v>
      </c>
      <c r="O11" s="317">
        <v>733.0</v>
      </c>
      <c r="P11" s="317">
        <f t="shared" ref="P11:Q11" si="11">O11+30</f>
        <v>763</v>
      </c>
      <c r="Q11" s="317">
        <f t="shared" si="11"/>
        <v>793</v>
      </c>
      <c r="R11" s="317">
        <f>Q11-(103*0.3)+30</f>
        <v>792.1</v>
      </c>
      <c r="S11" s="317">
        <f>R11+30</f>
        <v>822.1</v>
      </c>
      <c r="T11" s="317">
        <f>S11+20</f>
        <v>842.1</v>
      </c>
      <c r="U11" s="317">
        <f>T11-(96*0.3)+30</f>
        <v>843.3</v>
      </c>
      <c r="V11" s="317">
        <f t="shared" ref="V11:W11" si="12">U11+30</f>
        <v>873.3</v>
      </c>
      <c r="W11" s="317">
        <f t="shared" si="12"/>
        <v>903.3</v>
      </c>
      <c r="X11" s="317">
        <f>W11-(123*0.3)+30</f>
        <v>896.4</v>
      </c>
      <c r="Y11" s="317">
        <f t="shared" ref="Y11:Z11" si="13">X11+30</f>
        <v>926.4</v>
      </c>
      <c r="Z11" s="317">
        <f t="shared" si="13"/>
        <v>956.4</v>
      </c>
    </row>
    <row r="12" ht="15.75" customHeight="1">
      <c r="A12" s="306" t="s">
        <v>216</v>
      </c>
      <c r="B12" s="315"/>
      <c r="C12" s="318">
        <v>82.0</v>
      </c>
      <c r="D12" s="319">
        <v>88.0</v>
      </c>
      <c r="E12" s="319">
        <v>92.0</v>
      </c>
      <c r="F12" s="319">
        <v>88.0</v>
      </c>
      <c r="G12" s="319">
        <v>98.0</v>
      </c>
      <c r="H12" s="319">
        <v>109.0</v>
      </c>
      <c r="I12" s="319">
        <v>57.0</v>
      </c>
      <c r="J12" s="319">
        <v>77.0</v>
      </c>
      <c r="K12" s="319">
        <v>146.0</v>
      </c>
      <c r="L12" s="319">
        <v>153.0</v>
      </c>
      <c r="M12" s="319">
        <v>178.0</v>
      </c>
      <c r="N12" s="319">
        <v>190.0</v>
      </c>
      <c r="O12" s="319">
        <f t="shared" ref="O12:Z12" si="14">O11*O10</f>
        <v>212.57</v>
      </c>
      <c r="P12" s="319">
        <f t="shared" si="14"/>
        <v>221.27</v>
      </c>
      <c r="Q12" s="319">
        <f t="shared" si="14"/>
        <v>229.97</v>
      </c>
      <c r="R12" s="319">
        <f t="shared" si="14"/>
        <v>229.709</v>
      </c>
      <c r="S12" s="319">
        <f t="shared" si="14"/>
        <v>238.409</v>
      </c>
      <c r="T12" s="319">
        <f t="shared" si="14"/>
        <v>244.209</v>
      </c>
      <c r="U12" s="319">
        <f t="shared" si="14"/>
        <v>244.557</v>
      </c>
      <c r="V12" s="319">
        <f t="shared" si="14"/>
        <v>253.257</v>
      </c>
      <c r="W12" s="319">
        <f t="shared" si="14"/>
        <v>261.957</v>
      </c>
      <c r="X12" s="319">
        <f t="shared" si="14"/>
        <v>259.956</v>
      </c>
      <c r="Y12" s="319">
        <f t="shared" si="14"/>
        <v>268.656</v>
      </c>
      <c r="Z12" s="319">
        <f t="shared" si="14"/>
        <v>277.356</v>
      </c>
    </row>
    <row r="13" ht="15.75" customHeight="1">
      <c r="A13" s="306" t="s">
        <v>4</v>
      </c>
      <c r="B13" s="315"/>
      <c r="C13" s="320">
        <f t="shared" ref="C13:Z13" si="15">C2/C12</f>
        <v>31.81073171</v>
      </c>
      <c r="D13" s="321">
        <f t="shared" si="15"/>
        <v>28.56795455</v>
      </c>
      <c r="E13" s="321">
        <f t="shared" si="15"/>
        <v>34.30706522</v>
      </c>
      <c r="F13" s="321">
        <f t="shared" si="15"/>
        <v>37.48136364</v>
      </c>
      <c r="G13" s="321">
        <f t="shared" si="15"/>
        <v>37.66693878</v>
      </c>
      <c r="H13" s="321">
        <f t="shared" si="15"/>
        <v>41.05477064</v>
      </c>
      <c r="I13" s="321">
        <f t="shared" si="15"/>
        <v>37.98859649</v>
      </c>
      <c r="J13" s="321">
        <f t="shared" si="15"/>
        <v>37.82194805</v>
      </c>
      <c r="K13" s="321">
        <f t="shared" si="15"/>
        <v>39.18479452</v>
      </c>
      <c r="L13" s="321">
        <f t="shared" si="15"/>
        <v>38.87052288</v>
      </c>
      <c r="M13" s="321">
        <f t="shared" si="15"/>
        <v>48.25853933</v>
      </c>
      <c r="N13" s="321">
        <f t="shared" si="15"/>
        <v>60.01026316</v>
      </c>
      <c r="O13" s="321">
        <f t="shared" si="15"/>
        <v>44.53991626</v>
      </c>
      <c r="P13" s="321">
        <f t="shared" si="15"/>
        <v>29.37587563</v>
      </c>
      <c r="Q13" s="321">
        <f t="shared" si="15"/>
        <v>28.26455625</v>
      </c>
      <c r="R13" s="321">
        <f t="shared" si="15"/>
        <v>28.29667101</v>
      </c>
      <c r="S13" s="321">
        <f t="shared" si="15"/>
        <v>27.26407141</v>
      </c>
      <c r="T13" s="321">
        <f t="shared" si="15"/>
        <v>26.61654566</v>
      </c>
      <c r="U13" s="321">
        <f t="shared" si="15"/>
        <v>10.2225657</v>
      </c>
      <c r="V13" s="321">
        <f t="shared" si="15"/>
        <v>9.87139546</v>
      </c>
      <c r="W13" s="321">
        <f t="shared" si="15"/>
        <v>24.81323271</v>
      </c>
      <c r="X13" s="321">
        <f t="shared" si="15"/>
        <v>25.00423149</v>
      </c>
      <c r="Y13" s="321">
        <f t="shared" si="15"/>
        <v>24.19450896</v>
      </c>
      <c r="Z13" s="321">
        <f t="shared" si="15"/>
        <v>23.43558459</v>
      </c>
    </row>
    <row r="14" ht="15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5.75" customHeight="1">
      <c r="A15" s="322" t="s">
        <v>217</v>
      </c>
      <c r="B15" s="323"/>
      <c r="C15" s="324">
        <f t="shared" ref="C15:N15" si="16">C2/C12</f>
        <v>31.81073171</v>
      </c>
      <c r="D15" s="324">
        <f t="shared" si="16"/>
        <v>28.56795455</v>
      </c>
      <c r="E15" s="324">
        <f t="shared" si="16"/>
        <v>34.30706522</v>
      </c>
      <c r="F15" s="324">
        <f t="shared" si="16"/>
        <v>37.48136364</v>
      </c>
      <c r="G15" s="324">
        <f t="shared" si="16"/>
        <v>37.66693878</v>
      </c>
      <c r="H15" s="324">
        <f t="shared" si="16"/>
        <v>41.05477064</v>
      </c>
      <c r="I15" s="324">
        <f t="shared" si="16"/>
        <v>37.98859649</v>
      </c>
      <c r="J15" s="324">
        <f t="shared" si="16"/>
        <v>37.82194805</v>
      </c>
      <c r="K15" s="324">
        <f t="shared" si="16"/>
        <v>39.18479452</v>
      </c>
      <c r="L15" s="324">
        <f t="shared" si="16"/>
        <v>38.87052288</v>
      </c>
      <c r="M15" s="324">
        <f t="shared" si="16"/>
        <v>48.25853933</v>
      </c>
      <c r="N15" s="324">
        <f t="shared" si="16"/>
        <v>60.01026316</v>
      </c>
      <c r="O15" s="325">
        <v>39.0</v>
      </c>
      <c r="P15" s="325">
        <v>39.0</v>
      </c>
      <c r="Q15" s="325">
        <v>39.0</v>
      </c>
      <c r="R15" s="325">
        <v>39.0</v>
      </c>
      <c r="S15" s="325">
        <v>39.0</v>
      </c>
      <c r="T15" s="325">
        <v>39.0</v>
      </c>
      <c r="U15" s="325">
        <v>39.0</v>
      </c>
      <c r="V15" s="325">
        <v>39.0</v>
      </c>
      <c r="W15" s="325">
        <v>39.0</v>
      </c>
      <c r="X15" s="325">
        <v>39.0</v>
      </c>
      <c r="Y15" s="325">
        <v>39.0</v>
      </c>
      <c r="Z15" s="325">
        <v>39.0</v>
      </c>
    </row>
    <row r="16" ht="15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5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326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ySplit="1.0" topLeftCell="C2" activePane="bottomRight" state="frozen"/>
      <selection activeCell="C1" sqref="C1" pane="topRight"/>
      <selection activeCell="A2" sqref="A2" pane="bottomLeft"/>
      <selection activeCell="C2" sqref="C2" pane="bottomRight"/>
    </sheetView>
  </sheetViews>
  <sheetFormatPr customHeight="1" defaultColWidth="11.22" defaultRowHeight="15.0"/>
  <cols>
    <col customWidth="1" min="1" max="1" width="14.89"/>
    <col customWidth="1" min="2" max="2" width="20.0"/>
    <col customWidth="1" min="3" max="3" width="14.0"/>
    <col customWidth="1" min="4" max="4" width="22.11"/>
    <col customWidth="1" hidden="1" min="5" max="5" width="13.44"/>
    <col customWidth="1" min="6" max="6" width="14.0"/>
    <col customWidth="1" min="7" max="7" width="15.33"/>
    <col customWidth="1" hidden="1" min="8" max="8" width="10.78"/>
    <col customWidth="1" min="9" max="9" width="15.33"/>
    <col customWidth="1" min="10" max="10" width="16.33"/>
    <col customWidth="1" hidden="1" min="11" max="11" width="0.11"/>
    <col customWidth="1" min="12" max="15" width="15.33"/>
    <col customWidth="1" min="16" max="25" width="13.44"/>
  </cols>
  <sheetData>
    <row r="1" ht="15.75" customHeight="1">
      <c r="A1" s="1"/>
      <c r="B1" s="2"/>
      <c r="C1" s="5" t="s">
        <v>1</v>
      </c>
      <c r="D1" s="7"/>
      <c r="E1" s="8"/>
      <c r="F1" s="11" t="s">
        <v>3</v>
      </c>
      <c r="G1" s="12"/>
      <c r="H1" s="14"/>
      <c r="I1" s="16" t="s">
        <v>4</v>
      </c>
      <c r="J1" s="12"/>
      <c r="K1" s="14"/>
      <c r="L1" s="16" t="s">
        <v>5</v>
      </c>
      <c r="M1" s="18"/>
      <c r="N1" s="16" t="s">
        <v>6</v>
      </c>
      <c r="O1" s="20"/>
    </row>
    <row r="2" ht="15.75" customHeight="1">
      <c r="A2" s="1"/>
      <c r="B2" s="22"/>
      <c r="C2" s="23"/>
      <c r="D2" s="23"/>
      <c r="E2" s="23"/>
      <c r="F2" s="42"/>
      <c r="G2" s="42"/>
      <c r="H2" s="43"/>
      <c r="I2" s="42"/>
      <c r="J2" s="42"/>
      <c r="K2" s="43"/>
      <c r="L2" s="42"/>
      <c r="M2" s="42"/>
      <c r="N2" s="42"/>
      <c r="O2" s="42"/>
    </row>
    <row r="3" ht="35.25" customHeight="1">
      <c r="A3" s="1"/>
      <c r="B3" s="44" t="s">
        <v>18</v>
      </c>
      <c r="C3" s="44" t="s">
        <v>19</v>
      </c>
      <c r="D3" s="44" t="s">
        <v>20</v>
      </c>
      <c r="E3" s="44" t="s">
        <v>21</v>
      </c>
      <c r="F3" s="45"/>
      <c r="G3" s="45" t="s">
        <v>20</v>
      </c>
      <c r="H3" s="45" t="s">
        <v>21</v>
      </c>
      <c r="I3" s="45"/>
      <c r="J3" s="45" t="s">
        <v>20</v>
      </c>
      <c r="K3" s="45" t="s">
        <v>21</v>
      </c>
      <c r="L3" s="45"/>
      <c r="M3" s="45" t="s">
        <v>20</v>
      </c>
      <c r="N3" s="45"/>
      <c r="O3" s="45" t="s">
        <v>20</v>
      </c>
    </row>
    <row r="4" ht="39.75" customHeight="1">
      <c r="A4" s="1"/>
      <c r="B4" s="49" t="str">
        <f>HYPERLINK("https://fr.wikipedia.org/wiki/Chiffre_d%27affaires","Chiffre d'affaires")</f>
        <v>Chiffre d'affaires</v>
      </c>
      <c r="C4" s="53">
        <f>'Prévisionnel 2017 SCN1'!E5</f>
        <v>56481.18</v>
      </c>
      <c r="D4" s="2"/>
      <c r="E4" s="2"/>
      <c r="F4" s="55">
        <f>'Prévisionnel 2017 SCN1'!E49</f>
        <v>127157.51</v>
      </c>
      <c r="G4" s="57"/>
      <c r="H4" s="57"/>
      <c r="I4" s="55">
        <f>'Prévisionnel 2017 SCN2'!E49</f>
        <v>115910.784</v>
      </c>
      <c r="J4" s="57"/>
      <c r="K4" s="57"/>
      <c r="L4" s="55">
        <f>'Prévisionnel 2017 SCN3'!E49</f>
        <v>169467.85</v>
      </c>
      <c r="M4" s="57"/>
      <c r="N4" s="55">
        <f>'Prévisionnel 2017 SCN4'!E49</f>
        <v>169467.85</v>
      </c>
      <c r="O4" s="57"/>
    </row>
    <row r="5" ht="39.75" customHeight="1">
      <c r="A5" s="1"/>
      <c r="B5" s="68" t="s">
        <v>24</v>
      </c>
      <c r="C5" s="53">
        <f>'Prévisionnel 2017 SCN1'!E6</f>
        <v>11380</v>
      </c>
      <c r="D5" s="2"/>
      <c r="E5" s="2"/>
      <c r="F5" s="55">
        <f>'Prévisionnel 2017 SCN1'!E50</f>
        <v>14321.4</v>
      </c>
      <c r="G5" s="57"/>
      <c r="H5" s="57"/>
      <c r="I5" s="55">
        <f>'Prévisionnel 2017 SCN2'!E50</f>
        <v>11195</v>
      </c>
      <c r="J5" s="57"/>
      <c r="K5" s="57"/>
      <c r="L5" s="55">
        <f>'Prévisionnel 2017 SCN3'!E50</f>
        <v>11195</v>
      </c>
      <c r="M5" s="57"/>
      <c r="N5" s="55">
        <f>'Prévisionnel 2017 SCN4'!E50</f>
        <v>10403</v>
      </c>
      <c r="O5" s="57"/>
    </row>
    <row r="6" ht="39.75" customHeight="1">
      <c r="A6" s="1"/>
      <c r="B6" s="68" t="s">
        <v>30</v>
      </c>
      <c r="C6" s="53">
        <f>'Prévisionnel 2017 SCN1'!E7</f>
        <v>635</v>
      </c>
      <c r="D6" s="2"/>
      <c r="E6" s="2"/>
      <c r="F6" s="55">
        <f>'Prévisionnel 2017 SCN1'!E51-23076</f>
        <v>737</v>
      </c>
      <c r="G6" s="57"/>
      <c r="H6" s="57"/>
      <c r="I6" s="55">
        <f>'Prévisionnel 2017 SCN2'!E51-23076</f>
        <v>817</v>
      </c>
      <c r="J6" s="57"/>
      <c r="K6" s="57"/>
      <c r="L6" s="55">
        <f>'Prévisionnel 2017 SCN3'!E51-23076</f>
        <v>817</v>
      </c>
      <c r="M6" s="57"/>
      <c r="N6" s="55">
        <f>'Prévisionnel 2017 SCN4'!E51-23076</f>
        <v>817</v>
      </c>
      <c r="O6" s="57"/>
    </row>
    <row r="7" ht="39.75" customHeight="1">
      <c r="A7" s="1"/>
      <c r="B7" s="68" t="s">
        <v>32</v>
      </c>
      <c r="C7" s="53"/>
      <c r="D7" s="2"/>
      <c r="E7" s="2"/>
      <c r="F7" s="55"/>
      <c r="G7" s="57"/>
      <c r="H7" s="57"/>
      <c r="I7" s="55"/>
      <c r="J7" s="57"/>
      <c r="K7" s="57"/>
      <c r="L7" s="55"/>
      <c r="M7" s="57"/>
      <c r="N7" s="55">
        <f>'Prévisionnel 2017 SCN4'!E53</f>
        <v>35000</v>
      </c>
      <c r="O7" s="57"/>
      <c r="P7" s="1"/>
      <c r="Q7" s="1"/>
      <c r="R7" s="1"/>
      <c r="S7" s="1"/>
      <c r="T7" s="1"/>
      <c r="U7" s="1"/>
      <c r="V7" s="1"/>
      <c r="W7" s="1"/>
      <c r="X7" s="1"/>
      <c r="Y7" s="1"/>
    </row>
    <row r="8" ht="39.75" customHeight="1">
      <c r="A8" s="1"/>
      <c r="B8" s="68" t="s">
        <v>33</v>
      </c>
      <c r="C8" s="53">
        <f>'Prévisionnel 2017 SCN1'!E8</f>
        <v>7679.8</v>
      </c>
      <c r="D8" s="2"/>
      <c r="E8" s="2"/>
      <c r="F8" s="55">
        <f>'Prévisionnel 2017 SCN1'!E52</f>
        <v>27977.04</v>
      </c>
      <c r="G8" s="57"/>
      <c r="H8" s="57"/>
      <c r="I8" s="55">
        <f>'Prévisionnel 2017 SCN2'!E52</f>
        <v>29309.28</v>
      </c>
      <c r="J8" s="57"/>
      <c r="K8" s="57"/>
      <c r="L8" s="55">
        <f>'Prévisionnel 2017 SCN3'!E52</f>
        <v>29309.28</v>
      </c>
      <c r="M8" s="57"/>
      <c r="N8" s="55">
        <f>'Prévisionnel 2017 SCN4'!E52</f>
        <v>29309.28</v>
      </c>
      <c r="O8" s="57"/>
    </row>
    <row r="9" ht="39.75" customHeight="1">
      <c r="A9" s="1"/>
      <c r="B9" s="84" t="s">
        <v>35</v>
      </c>
      <c r="C9" s="85"/>
      <c r="D9" s="87">
        <f>C4+C5+C6+C8</f>
        <v>76175.98</v>
      </c>
      <c r="E9" s="89">
        <f>D9/D9</f>
        <v>1</v>
      </c>
      <c r="F9" s="90"/>
      <c r="G9" s="92">
        <f>SUM(F4:F8)</f>
        <v>170192.95</v>
      </c>
      <c r="H9" s="94">
        <f>G9/G9</f>
        <v>1</v>
      </c>
      <c r="I9" s="90"/>
      <c r="J9" s="92">
        <f>SUM(I4:I8)</f>
        <v>157232.064</v>
      </c>
      <c r="K9" s="94">
        <v>1.0</v>
      </c>
      <c r="L9" s="90"/>
      <c r="M9" s="92">
        <f>SUM(L4:L8)</f>
        <v>210789.13</v>
      </c>
      <c r="N9" s="90"/>
      <c r="O9" s="92">
        <f>SUM(N4:N8)</f>
        <v>244997.13</v>
      </c>
    </row>
    <row r="10" ht="39.75" customHeight="1">
      <c r="A10" s="1"/>
      <c r="B10" s="96" t="s">
        <v>41</v>
      </c>
      <c r="C10" s="98">
        <f>SUM(C11:C20)</f>
        <v>7316.78</v>
      </c>
      <c r="D10" s="2"/>
      <c r="E10" s="2"/>
      <c r="F10" s="100">
        <f>SUM(F11:F20)</f>
        <v>23442.5425</v>
      </c>
      <c r="G10" s="57"/>
      <c r="H10" s="57"/>
      <c r="I10" s="100">
        <f>SUM(I11:I20)</f>
        <v>24502.64654</v>
      </c>
      <c r="J10" s="57"/>
      <c r="K10" s="57"/>
      <c r="L10" s="100">
        <f>SUM(L11:L20)</f>
        <v>26754.8104</v>
      </c>
      <c r="M10" s="57"/>
      <c r="N10" s="100">
        <f>SUM(N11:N20)</f>
        <v>27520.08877</v>
      </c>
      <c r="O10" s="57"/>
    </row>
    <row r="11" ht="39.75" hidden="1" customHeight="1">
      <c r="A11" s="1"/>
      <c r="B11" s="102" t="s">
        <v>50</v>
      </c>
      <c r="C11" s="53">
        <f>'Prévisionnel 2017 SCN1'!E26</f>
        <v>204.15</v>
      </c>
      <c r="D11" s="2"/>
      <c r="E11" s="2"/>
      <c r="F11" s="55">
        <f>'Prévisionnel 2017 SCN1'!E70</f>
        <v>208.58</v>
      </c>
      <c r="G11" s="57"/>
      <c r="H11" s="57"/>
      <c r="I11" s="55">
        <f>'Prévisionnel 2017 SCN2'!E71</f>
        <v>227.3</v>
      </c>
      <c r="J11" s="57"/>
      <c r="K11" s="57"/>
      <c r="L11" s="55">
        <f>'Prévisionnel 2017 SCN3'!E71</f>
        <v>227.3</v>
      </c>
      <c r="M11" s="57"/>
      <c r="N11" s="55">
        <f>'Prévisionnel 2017 SCN4'!E72</f>
        <v>227.3</v>
      </c>
      <c r="O11" s="57"/>
    </row>
    <row r="12" ht="39.75" hidden="1" customHeight="1">
      <c r="A12" s="1"/>
      <c r="B12" s="102" t="s">
        <v>59</v>
      </c>
      <c r="C12" s="53">
        <f>'Prévisionnel 2017 SCN1'!E20</f>
        <v>4815</v>
      </c>
      <c r="D12" s="2"/>
      <c r="E12" s="2"/>
      <c r="F12" s="55">
        <f>'Prévisionnel 2017 SCN1'!E64</f>
        <v>9780</v>
      </c>
      <c r="G12" s="57"/>
      <c r="H12" s="57"/>
      <c r="I12" s="55">
        <f>'Prévisionnel 2017 SCN2'!E65</f>
        <v>9910</v>
      </c>
      <c r="J12" s="57"/>
      <c r="K12" s="57"/>
      <c r="L12" s="55">
        <f>'Prévisionnel 2017 SCN3'!E65</f>
        <v>9910</v>
      </c>
      <c r="M12" s="57"/>
      <c r="N12" s="55">
        <f>'Prévisionnel 2017 SCN4'!E66</f>
        <v>9910</v>
      </c>
      <c r="O12" s="57"/>
    </row>
    <row r="13" ht="39.75" hidden="1" customHeight="1">
      <c r="A13" s="1"/>
      <c r="B13" s="102" t="s">
        <v>61</v>
      </c>
      <c r="C13" s="53">
        <f>'Prévisionnel 2017 SCN1'!E25</f>
        <v>230.02</v>
      </c>
      <c r="D13" s="2"/>
      <c r="E13" s="2"/>
      <c r="F13" s="55">
        <f>'Prévisionnel 2017 SCN1'!E69</f>
        <v>342.69</v>
      </c>
      <c r="G13" s="57"/>
      <c r="H13" s="57"/>
      <c r="I13" s="55">
        <f>'Prévisionnel 2017 SCN2'!E70</f>
        <v>387.5</v>
      </c>
      <c r="J13" s="57"/>
      <c r="K13" s="57"/>
      <c r="L13" s="55">
        <f>'Prévisionnel 2017 SCN3'!E70</f>
        <v>387.5</v>
      </c>
      <c r="M13" s="57"/>
      <c r="N13" s="55">
        <f>'Prévisionnel 2017 SCN4'!E71</f>
        <v>387.5</v>
      </c>
      <c r="O13" s="57"/>
    </row>
    <row r="14" ht="39.75" hidden="1" customHeight="1">
      <c r="A14" s="1"/>
      <c r="B14" s="102" t="s">
        <v>63</v>
      </c>
      <c r="C14" s="53">
        <f>'Prévisionnel 2017 SCN1'!E22</f>
        <v>173.08</v>
      </c>
      <c r="D14" s="2"/>
      <c r="E14" s="2"/>
      <c r="F14" s="55">
        <f>'Prévisionnel 2017 SCN1'!E66</f>
        <v>299.26</v>
      </c>
      <c r="G14" s="57"/>
      <c r="H14" s="57"/>
      <c r="I14" s="55">
        <f>'Prévisionnel 2017 SCN2'!E67</f>
        <v>299.26</v>
      </c>
      <c r="J14" s="57"/>
      <c r="K14" s="57"/>
      <c r="L14" s="55">
        <f>'Prévisionnel 2017 SCN3'!E67</f>
        <v>299.26</v>
      </c>
      <c r="M14" s="57"/>
      <c r="N14" s="55">
        <f>'Prévisionnel 2017 SCN4'!E68</f>
        <v>299.26</v>
      </c>
      <c r="O14" s="57"/>
    </row>
    <row r="15" ht="39.75" hidden="1" customHeight="1">
      <c r="A15" s="1"/>
      <c r="B15" s="102" t="s">
        <v>65</v>
      </c>
      <c r="C15" s="53">
        <f>'Prévisionnel 2017 SCN1'!E18</f>
        <v>257.99</v>
      </c>
      <c r="D15" s="2"/>
      <c r="E15" s="2"/>
      <c r="F15" s="55">
        <f>'Prévisionnel 2017 SCN1'!E62</f>
        <v>669.66</v>
      </c>
      <c r="G15" s="57"/>
      <c r="H15" s="57"/>
      <c r="I15" s="55">
        <f>'Prévisionnel 2017 SCN2'!E63</f>
        <v>1090.26</v>
      </c>
      <c r="J15" s="57"/>
      <c r="K15" s="57"/>
      <c r="L15" s="55">
        <f>'Prévisionnel 2017 SCN3'!E63</f>
        <v>1090.26</v>
      </c>
      <c r="M15" s="57"/>
      <c r="N15" s="55">
        <f>'Prévisionnel 2017 SCN4'!E64</f>
        <v>1090.26</v>
      </c>
      <c r="O15" s="57"/>
    </row>
    <row r="16" ht="39.75" hidden="1" customHeight="1">
      <c r="A16" s="1"/>
      <c r="B16" s="102" t="s">
        <v>42</v>
      </c>
      <c r="C16" s="53">
        <f>'Prévisionnel 2017 SCN1'!E16</f>
        <v>496.19</v>
      </c>
      <c r="D16" s="2"/>
      <c r="E16" s="2"/>
      <c r="F16" s="55">
        <f>'Prévisionnel 2017 SCN1'!E60</f>
        <v>1832.31</v>
      </c>
      <c r="G16" s="57"/>
      <c r="H16" s="57"/>
      <c r="I16" s="55">
        <f>'Prévisionnel 2017 SCN2'!E61</f>
        <v>1998</v>
      </c>
      <c r="J16" s="57"/>
      <c r="K16" s="57"/>
      <c r="L16" s="55">
        <f>'Prévisionnel 2017 SCN3'!E61</f>
        <v>1998</v>
      </c>
      <c r="M16" s="57"/>
      <c r="N16" s="55">
        <f>'Prévisionnel 2017 SCN4'!E62</f>
        <v>1998</v>
      </c>
      <c r="O16" s="57"/>
    </row>
    <row r="17" ht="39.75" hidden="1" customHeight="1">
      <c r="A17" s="1"/>
      <c r="B17" s="102" t="s">
        <v>44</v>
      </c>
      <c r="C17" s="53">
        <f>'Prévisionnel 2017 SCN1'!E17</f>
        <v>54.91</v>
      </c>
      <c r="D17" s="2"/>
      <c r="E17" s="2"/>
      <c r="F17" s="55">
        <f>'Prévisionnel 2017 SCN1'!E61</f>
        <v>423.1</v>
      </c>
      <c r="G17" s="57"/>
      <c r="H17" s="57"/>
      <c r="I17" s="55">
        <f>'Prévisionnel 2017 SCN2'!E62</f>
        <v>260</v>
      </c>
      <c r="J17" s="57"/>
      <c r="K17" s="57"/>
      <c r="L17" s="55">
        <f>'Prévisionnel 2017 SCN3'!E62</f>
        <v>260</v>
      </c>
      <c r="M17" s="57"/>
      <c r="N17" s="55">
        <f>'Prévisionnel 2017 SCN4'!E63</f>
        <v>260</v>
      </c>
      <c r="O17" s="57"/>
    </row>
    <row r="18" ht="39.75" hidden="1" customHeight="1">
      <c r="A18" s="1"/>
      <c r="B18" s="102" t="s">
        <v>69</v>
      </c>
      <c r="C18" s="53">
        <f>'Prévisionnel 2017 SCN1'!E21</f>
        <v>972.11</v>
      </c>
      <c r="D18" s="2"/>
      <c r="E18" s="2"/>
      <c r="F18" s="55">
        <f>'Prévisionnel 2017 SCN1'!E65</f>
        <v>1199.18</v>
      </c>
      <c r="G18" s="57"/>
      <c r="H18" s="57"/>
      <c r="I18" s="55">
        <f>'Prévisionnel 2017 SCN2'!E66</f>
        <v>1685.27</v>
      </c>
      <c r="J18" s="57"/>
      <c r="K18" s="57"/>
      <c r="L18" s="55">
        <f>'Prévisionnel 2017 SCN3'!E66</f>
        <v>1685.27</v>
      </c>
      <c r="M18" s="57"/>
      <c r="N18" s="55">
        <f>'Prévisionnel 2017 SCN4'!E67</f>
        <v>1685.27</v>
      </c>
      <c r="O18" s="57"/>
    </row>
    <row r="19" ht="39.75" hidden="1" customHeight="1">
      <c r="A19" s="1"/>
      <c r="B19" s="102" t="s">
        <v>70</v>
      </c>
      <c r="C19" s="53">
        <f>'Prévisionnel 2017 SCN1'!E29</f>
        <v>113.33</v>
      </c>
      <c r="D19" s="120"/>
      <c r="E19" s="120"/>
      <c r="F19" s="55">
        <f>'Prévisionnel 2017 SCN1'!E73</f>
        <v>244.11</v>
      </c>
      <c r="G19" s="121"/>
      <c r="H19" s="57"/>
      <c r="I19" s="55">
        <f>'Prévisionnel 2017 SCN2'!E74</f>
        <v>129.05</v>
      </c>
      <c r="J19" s="121"/>
      <c r="K19" s="57"/>
      <c r="L19" s="55">
        <f>'Prévisionnel 2017 SCN3'!E74</f>
        <v>129.05</v>
      </c>
      <c r="M19" s="121"/>
      <c r="N19" s="55">
        <f>'Prévisionnel 2017 SCN4'!E75</f>
        <v>129.05</v>
      </c>
      <c r="O19" s="121"/>
    </row>
    <row r="20" ht="39.75" hidden="1" customHeight="1">
      <c r="A20" s="1"/>
      <c r="B20" s="102" t="s">
        <v>75</v>
      </c>
      <c r="C20" s="53">
        <v>0.0</v>
      </c>
      <c r="D20" s="120"/>
      <c r="E20" s="120"/>
      <c r="F20" s="55">
        <f>'Prévisionnel 2017 SCN1'!E75</f>
        <v>8443.6525</v>
      </c>
      <c r="G20" s="121"/>
      <c r="H20" s="57"/>
      <c r="I20" s="55">
        <f>'Prévisionnel 2017 SCN2'!E76</f>
        <v>8516.006541</v>
      </c>
      <c r="J20" s="121"/>
      <c r="K20" s="57"/>
      <c r="L20" s="55">
        <f>'Prévisionnel 2017 SCN3'!E76</f>
        <v>10768.1704</v>
      </c>
      <c r="M20" s="121"/>
      <c r="N20" s="55">
        <f>'Prévisionnel 2017 SCN4'!E77</f>
        <v>11533.44877</v>
      </c>
      <c r="O20" s="12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ht="39.75" customHeight="1">
      <c r="A21" s="1"/>
      <c r="B21" s="96" t="s">
        <v>76</v>
      </c>
      <c r="C21" s="98">
        <f>C22+C23</f>
        <v>50684.83</v>
      </c>
      <c r="D21" s="120"/>
      <c r="E21" s="120"/>
      <c r="F21" s="100">
        <f>F22+F23</f>
        <v>110768.58</v>
      </c>
      <c r="G21" s="121"/>
      <c r="H21" s="57"/>
      <c r="I21" s="100">
        <f>I22+I23</f>
        <v>99858.01588</v>
      </c>
      <c r="J21" s="121"/>
      <c r="K21" s="57"/>
      <c r="L21" s="100">
        <f>L22+L23</f>
        <v>143774.81</v>
      </c>
      <c r="M21" s="121"/>
      <c r="N21" s="100">
        <f>N22+N23</f>
        <v>143774.81</v>
      </c>
      <c r="O21" s="121"/>
    </row>
    <row r="22" ht="39.75" hidden="1" customHeight="1">
      <c r="A22" s="1"/>
      <c r="B22" s="102" t="s">
        <v>78</v>
      </c>
      <c r="C22" s="53">
        <f>'Prévisionnel 2017 SCN1'!E19</f>
        <v>50108.64</v>
      </c>
      <c r="D22" s="2"/>
      <c r="E22" s="2"/>
      <c r="F22" s="55">
        <f>'Prévisionnel 2017 SCN1'!E63</f>
        <v>110116.58</v>
      </c>
      <c r="G22" s="57"/>
      <c r="H22" s="57"/>
      <c r="I22" s="55">
        <f>'Prévisionnel 2017 SCN2'!E64</f>
        <v>99154.01588</v>
      </c>
      <c r="J22" s="57"/>
      <c r="K22" s="57"/>
      <c r="L22" s="55">
        <f>'Prévisionnel 2017 SCN3'!E64</f>
        <v>143070.81</v>
      </c>
      <c r="M22" s="57"/>
      <c r="N22" s="55">
        <f>'Prévisionnel 2017 SCN4'!E65</f>
        <v>143070.81</v>
      </c>
      <c r="O22" s="57"/>
    </row>
    <row r="23" ht="39.75" hidden="1" customHeight="1">
      <c r="A23" s="1"/>
      <c r="B23" s="102" t="s">
        <v>79</v>
      </c>
      <c r="C23" s="53">
        <f>'Prévisionnel 2017 SCN1'!E24</f>
        <v>576.19</v>
      </c>
      <c r="D23" s="2"/>
      <c r="E23" s="2"/>
      <c r="F23" s="55">
        <f>'Prévisionnel 2017 SCN1'!E68</f>
        <v>652</v>
      </c>
      <c r="G23" s="57"/>
      <c r="H23" s="57"/>
      <c r="I23" s="55">
        <f>'Prévisionnel 2017 SCN2'!E69</f>
        <v>704</v>
      </c>
      <c r="J23" s="57"/>
      <c r="K23" s="57"/>
      <c r="L23" s="55">
        <f>'Prévisionnel 2017 SCN3'!E69</f>
        <v>704</v>
      </c>
      <c r="M23" s="57"/>
      <c r="N23" s="55">
        <f>'Prévisionnel 2017 SCN4'!E70</f>
        <v>704</v>
      </c>
      <c r="O23" s="57"/>
    </row>
    <row r="24" ht="39.75" hidden="1" customHeight="1">
      <c r="A24" s="1"/>
      <c r="B24" s="96" t="s">
        <v>71</v>
      </c>
      <c r="C24" s="98">
        <v>-3727.0</v>
      </c>
      <c r="D24" s="2"/>
      <c r="E24" s="2"/>
      <c r="F24" s="100">
        <f>'Prévisionnel 2017 SCN1'!E42-'Prévisionnel 2017 SCN1'!E86</f>
        <v>-273</v>
      </c>
      <c r="G24" s="131">
        <f>(F24/F22)*360</f>
        <v>-0.8925086486</v>
      </c>
      <c r="H24" s="57"/>
      <c r="I24" s="100">
        <f>'Prévisionnel 2017 SCN2'!E42-'Prévisionnel 2017 SCN2'!E87</f>
        <v>-273</v>
      </c>
      <c r="J24" s="131">
        <f>(I24/I22)*360</f>
        <v>-0.99118527</v>
      </c>
      <c r="K24" s="57"/>
      <c r="L24" s="100">
        <f>'Prévisionnel 2017 SCN3'!E42-'Prévisionnel 2017 SCN3'!E87</f>
        <v>-273</v>
      </c>
      <c r="M24" s="131">
        <f>(L24/L22)*360</f>
        <v>-0.6869325756</v>
      </c>
      <c r="N24" s="100">
        <f>'Prévisionnel 2017 SCN4'!E42-'Prévisionnel 2017 SCN4'!E88</f>
        <v>-273</v>
      </c>
      <c r="O24" s="131">
        <f>(N24/N22)*360</f>
        <v>-0.6869325756</v>
      </c>
    </row>
    <row r="25" ht="39.75" customHeight="1">
      <c r="A25" s="1"/>
      <c r="B25" s="135" t="s">
        <v>83</v>
      </c>
      <c r="C25" s="85"/>
      <c r="D25" s="87">
        <f>C10+C21+C24</f>
        <v>54274.61</v>
      </c>
      <c r="E25" s="89">
        <f>D25/D9</f>
        <v>0.7124898163</v>
      </c>
      <c r="F25" s="90"/>
      <c r="G25" s="92">
        <f>F10+F21+F24</f>
        <v>133938.1225</v>
      </c>
      <c r="H25" s="94">
        <f>G25/G9</f>
        <v>0.7869780887</v>
      </c>
      <c r="I25" s="90"/>
      <c r="J25" s="92">
        <f>I10+I21+I24</f>
        <v>124087.6624</v>
      </c>
      <c r="K25" s="94">
        <f>J25/J9</f>
        <v>0.7892007474</v>
      </c>
      <c r="L25" s="90"/>
      <c r="M25" s="92">
        <f>L10+L21+L24</f>
        <v>170256.6204</v>
      </c>
      <c r="N25" s="90"/>
      <c r="O25" s="92">
        <f>N10+N21+N24</f>
        <v>171021.8988</v>
      </c>
    </row>
    <row r="26" ht="39.75" customHeight="1">
      <c r="A26" s="1"/>
      <c r="B26" s="135" t="str">
        <f>HYPERLINK("https://fr.wikipedia.org/wiki/Marge_Brute","Marge Brute")</f>
        <v>Marge Brute</v>
      </c>
      <c r="C26" s="85"/>
      <c r="D26" s="87">
        <f>D9-D25</f>
        <v>21901.37</v>
      </c>
      <c r="E26" s="89">
        <f>D26/D9</f>
        <v>0.2875101837</v>
      </c>
      <c r="F26" s="90"/>
      <c r="G26" s="92">
        <f>G9-G25</f>
        <v>36254.8275</v>
      </c>
      <c r="H26" s="94">
        <f>G26/G9</f>
        <v>0.2130219113</v>
      </c>
      <c r="I26" s="90"/>
      <c r="J26" s="92">
        <f>J9-J25</f>
        <v>33144.40158</v>
      </c>
      <c r="K26" s="94">
        <f>J26/J9</f>
        <v>0.2107992526</v>
      </c>
      <c r="L26" s="90"/>
      <c r="M26" s="92">
        <f>M9-M25</f>
        <v>40532.5096</v>
      </c>
      <c r="N26" s="90"/>
      <c r="O26" s="92">
        <f>O9-O25</f>
        <v>73975.23123</v>
      </c>
    </row>
    <row r="27" ht="39.75" customHeight="1">
      <c r="A27" s="1"/>
      <c r="B27" s="102" t="s">
        <v>88</v>
      </c>
      <c r="C27" s="53">
        <f>'Prévisionnel 2017 SCN1'!E15</f>
        <v>231.2</v>
      </c>
      <c r="D27" s="2"/>
      <c r="E27" s="2"/>
      <c r="F27" s="55">
        <f>'Prévisionnel 2017 SCN1'!E59</f>
        <v>2005.32</v>
      </c>
      <c r="G27" s="57"/>
      <c r="H27" s="57"/>
      <c r="I27" s="55">
        <f>'Prévisionnel 2017 SCN2'!E60</f>
        <v>3405.32</v>
      </c>
      <c r="J27" s="57"/>
      <c r="K27" s="57"/>
      <c r="L27" s="55">
        <f>'Prévisionnel 2017 SCN3'!E60</f>
        <v>3405.32</v>
      </c>
      <c r="M27" s="57"/>
      <c r="N27" s="55">
        <f>'Prévisionnel 2017 SCN4'!E61</f>
        <v>20505.32</v>
      </c>
      <c r="O27" s="57"/>
    </row>
    <row r="28" ht="39.75" customHeight="1">
      <c r="A28" s="1"/>
      <c r="B28" s="135" t="str">
        <f>HYPERLINK("https://fr.wikipedia.org/wiki/Valeur_ajout%C3%A9e","Valeur ajoutée")</f>
        <v>Valeur ajoutée</v>
      </c>
      <c r="C28" s="85"/>
      <c r="D28" s="87">
        <f>D26-C27</f>
        <v>21670.17</v>
      </c>
      <c r="E28" s="89">
        <f>D28/D9</f>
        <v>0.2844751062</v>
      </c>
      <c r="F28" s="90"/>
      <c r="G28" s="92">
        <f>G26-F27</f>
        <v>34249.5075</v>
      </c>
      <c r="H28" s="94">
        <f>G28/G9</f>
        <v>0.2012392846</v>
      </c>
      <c r="I28" s="90"/>
      <c r="J28" s="92">
        <f>J26-I27</f>
        <v>29739.08158</v>
      </c>
      <c r="K28" s="94">
        <f>J28/J9</f>
        <v>0.1891413292</v>
      </c>
      <c r="L28" s="90"/>
      <c r="M28" s="92">
        <f>M26-L27</f>
        <v>37127.1896</v>
      </c>
      <c r="N28" s="90"/>
      <c r="O28" s="92">
        <f>O26-N27</f>
        <v>53469.91123</v>
      </c>
    </row>
    <row r="29" ht="39.75" customHeight="1">
      <c r="A29" s="1"/>
      <c r="B29" s="102" t="s">
        <v>91</v>
      </c>
      <c r="C29" s="53">
        <f>'Prévisionnel 2017 SCN1'!E27</f>
        <v>3370.26</v>
      </c>
      <c r="D29" s="2"/>
      <c r="E29" s="2"/>
      <c r="F29" s="55">
        <f>'Prévisionnel 2017 SCN1'!E71</f>
        <v>23608.81</v>
      </c>
      <c r="G29" s="57"/>
      <c r="H29" s="57"/>
      <c r="I29" s="55">
        <f>'Prévisionnel 2017 SCN2'!E72</f>
        <v>24714.89</v>
      </c>
      <c r="J29" s="57"/>
      <c r="K29" s="57"/>
      <c r="L29" s="55">
        <f>'Prévisionnel 2017 SCN3'!E72</f>
        <v>24714.89</v>
      </c>
      <c r="M29" s="57"/>
      <c r="N29" s="55">
        <f>'Prévisionnel 2017 SCN4'!E73</f>
        <v>24714.89</v>
      </c>
      <c r="O29" s="57"/>
    </row>
    <row r="30" ht="39.75" customHeight="1">
      <c r="A30" s="1"/>
      <c r="B30" s="102" t="s">
        <v>92</v>
      </c>
      <c r="C30" s="53">
        <f>'Prévisionnel 2017 SCN1'!E28</f>
        <v>359</v>
      </c>
      <c r="D30" s="2"/>
      <c r="E30" s="2"/>
      <c r="F30" s="55">
        <f>'Prévisionnel 2017 SCN1'!E72</f>
        <v>10098</v>
      </c>
      <c r="G30" s="57"/>
      <c r="H30" s="57"/>
      <c r="I30" s="55">
        <f>'Prévisionnel 2017 SCN2'!E73</f>
        <v>10549</v>
      </c>
      <c r="J30" s="57"/>
      <c r="K30" s="57"/>
      <c r="L30" s="55">
        <f>'Prévisionnel 2017 SCN3'!E73</f>
        <v>10549</v>
      </c>
      <c r="M30" s="57"/>
      <c r="N30" s="55">
        <f>'Prévisionnel 2017 SCN4'!E74</f>
        <v>10549</v>
      </c>
      <c r="O30" s="57"/>
    </row>
    <row r="31" ht="39.75" customHeight="1">
      <c r="A31" s="1"/>
      <c r="B31" s="135" t="str">
        <f>HYPERLINK("https://fr.wikipedia.org/wiki/Exc%C3%A9dent_brut_d%27exploitation","Excédent brut d'exploitation")</f>
        <v>Excédent brut d'exploitation</v>
      </c>
      <c r="C31" s="85"/>
      <c r="D31" s="87">
        <f>D28-C29-C30</f>
        <v>17940.91</v>
      </c>
      <c r="E31" s="89">
        <f>D31/D9</f>
        <v>0.2355192542</v>
      </c>
      <c r="F31" s="90"/>
      <c r="G31" s="92">
        <f>G28-F29-F30</f>
        <v>542.6975</v>
      </c>
      <c r="H31" s="94">
        <f>G31/G9</f>
        <v>0.003188719039</v>
      </c>
      <c r="I31" s="90"/>
      <c r="J31" s="92">
        <f>J28-I29-I30</f>
        <v>-5524.808421</v>
      </c>
      <c r="K31" s="94">
        <f>J31/J9</f>
        <v>-0.03513792467</v>
      </c>
      <c r="L31" s="90"/>
      <c r="M31" s="92">
        <f>M28-L29-L30</f>
        <v>1863.299598</v>
      </c>
      <c r="N31" s="90"/>
      <c r="O31" s="92">
        <f>O28-N29-N30</f>
        <v>18206.02123</v>
      </c>
    </row>
    <row r="32" ht="39.75" customHeight="1">
      <c r="A32" s="1"/>
      <c r="B32" s="102" t="s">
        <v>94</v>
      </c>
      <c r="C32" s="53">
        <f>0.2*'Prévisionnel 2017 SCN1'!E12</f>
        <v>1481.728</v>
      </c>
      <c r="D32" s="2"/>
      <c r="E32" s="2"/>
      <c r="F32" s="55">
        <f>0.2*('Prévisionnel 2017 SCN1'!E55+'Prévisionnel 2017 SCN1'!E56+'Prévisionnel 2017 SCN1'!E12)</f>
        <v>1813.418</v>
      </c>
      <c r="G32" s="57"/>
      <c r="H32" s="57"/>
      <c r="I32" s="55">
        <f>0.2*('Prévisionnel 2017 SCN2'!E55+'Prévisionnel 2017 SCN2'!E56+'Prévisionnel 2017 SCN2'!E12)</f>
        <v>3314.348</v>
      </c>
      <c r="J32" s="57"/>
      <c r="K32" s="57"/>
      <c r="L32" s="55">
        <f>0.2*('Prévisionnel 2017 SCN3'!E55+'Prévisionnel 2017 SCN3'!E56+'Prévisionnel 2017 SCN3'!E12)</f>
        <v>3314.348</v>
      </c>
      <c r="M32" s="57"/>
      <c r="N32" s="55">
        <f>0.2*('Prévisionnel 2017 SCN4'!E56+'Prévisionnel 2017 SCN4'!E57+'Prévisionnel 2017 SCN4'!E12)</f>
        <v>3314.348</v>
      </c>
      <c r="O32" s="57"/>
    </row>
    <row r="33" ht="39.75" customHeight="1">
      <c r="A33" s="1"/>
      <c r="B33" s="135" t="str">
        <f>HYPERLINK("https://fr.wikipedia.org/wiki/R%C3%A9sultat_d%27exploitation","Résultat d'exploitation")</f>
        <v>Résultat d'exploitation</v>
      </c>
      <c r="C33" s="85"/>
      <c r="D33" s="87">
        <f>D31-C32</f>
        <v>16459.182</v>
      </c>
      <c r="E33" s="89">
        <f>D33/D9</f>
        <v>0.2160678734</v>
      </c>
      <c r="F33" s="90"/>
      <c r="G33" s="92">
        <f>G31-F32</f>
        <v>-1270.7205</v>
      </c>
      <c r="H33" s="94">
        <f>G33/G9</f>
        <v>-0.007466352161</v>
      </c>
      <c r="I33" s="90"/>
      <c r="J33" s="92">
        <f>J31-I32</f>
        <v>-8839.156421</v>
      </c>
      <c r="K33" s="94">
        <f>J33/J9</f>
        <v>-0.05621726381</v>
      </c>
      <c r="L33" s="90"/>
      <c r="M33" s="92">
        <f>M31-L32</f>
        <v>-1451.048402</v>
      </c>
      <c r="N33" s="90"/>
      <c r="O33" s="92">
        <f>O31-N32</f>
        <v>14891.67323</v>
      </c>
    </row>
    <row r="34" ht="39.75" customHeight="1">
      <c r="A34" s="1"/>
      <c r="B34" s="135" t="str">
        <f>HYPERLINK("https://fr.wikipedia.org/wiki/R%C3%A9sultat_financier","Résultat financier")</f>
        <v>Résultat financier</v>
      </c>
      <c r="C34" s="85"/>
      <c r="D34" s="87">
        <f>0</f>
        <v>0</v>
      </c>
      <c r="E34" s="150"/>
      <c r="F34" s="90"/>
      <c r="G34" s="92">
        <v>0.0</v>
      </c>
      <c r="H34" s="151"/>
      <c r="I34" s="90"/>
      <c r="J34" s="92">
        <v>0.0</v>
      </c>
      <c r="K34" s="151"/>
      <c r="L34" s="90"/>
      <c r="M34" s="92">
        <v>0.0</v>
      </c>
      <c r="N34" s="90"/>
      <c r="O34" s="92">
        <v>0.0</v>
      </c>
    </row>
    <row r="35" ht="39.75" customHeight="1">
      <c r="A35" s="1"/>
      <c r="B35" s="135" t="str">
        <f>HYPERLINK("https://fr.wikipedia.org/wiki/R%C3%A9sultat_courant","Résultat courant")</f>
        <v>Résultat courant</v>
      </c>
      <c r="C35" s="85"/>
      <c r="D35" s="87">
        <f>D33+D34</f>
        <v>16459.182</v>
      </c>
      <c r="E35" s="89">
        <f>D35/D9</f>
        <v>0.2160678734</v>
      </c>
      <c r="F35" s="90"/>
      <c r="G35" s="92">
        <f>G33+G34</f>
        <v>-1270.7205</v>
      </c>
      <c r="H35" s="94">
        <f>G35/G9</f>
        <v>-0.007466352161</v>
      </c>
      <c r="I35" s="90"/>
      <c r="J35" s="92">
        <f>J33+J34</f>
        <v>-8839.156421</v>
      </c>
      <c r="K35" s="94">
        <f>J35/J9</f>
        <v>-0.05621726381</v>
      </c>
      <c r="L35" s="90"/>
      <c r="M35" s="92">
        <f>M33+M34</f>
        <v>-1451.048402</v>
      </c>
      <c r="N35" s="90"/>
      <c r="O35" s="92">
        <f>O33+O34</f>
        <v>14891.67323</v>
      </c>
    </row>
    <row r="36" ht="39.75" customHeight="1">
      <c r="A36" s="1"/>
      <c r="B36" s="102" t="s">
        <v>101</v>
      </c>
      <c r="C36" s="53">
        <v>23076.0</v>
      </c>
      <c r="D36" s="2"/>
      <c r="E36" s="2"/>
      <c r="F36" s="55">
        <v>0.0</v>
      </c>
      <c r="G36" s="57"/>
      <c r="H36" s="57"/>
      <c r="I36" s="55">
        <v>0.0</v>
      </c>
      <c r="J36" s="57"/>
      <c r="K36" s="57"/>
      <c r="L36" s="55">
        <v>0.0</v>
      </c>
      <c r="M36" s="57"/>
      <c r="N36" s="55">
        <v>0.0</v>
      </c>
      <c r="O36" s="57"/>
    </row>
    <row r="37" ht="39.75" customHeight="1">
      <c r="A37" s="1"/>
      <c r="B37" s="102" t="s">
        <v>102</v>
      </c>
      <c r="C37" s="53">
        <f>'Prévisionnel 2017 SCN1'!E30</f>
        <v>4296.96</v>
      </c>
      <c r="D37" s="2"/>
      <c r="E37" s="2"/>
      <c r="F37" s="55">
        <f>'Prévisionnel 2017 SCN1'!E74</f>
        <v>450</v>
      </c>
      <c r="G37" s="57"/>
      <c r="H37" s="57"/>
      <c r="I37" s="55">
        <f>'Prévisionnel 2017 SCN2'!E75</f>
        <v>609</v>
      </c>
      <c r="J37" s="57"/>
      <c r="K37" s="57"/>
      <c r="L37" s="55">
        <f>'Prévisionnel 2017 SCN3'!E75</f>
        <v>609</v>
      </c>
      <c r="M37" s="57"/>
      <c r="N37" s="55">
        <f>'Prévisionnel 2017 SCN4'!E76</f>
        <v>609</v>
      </c>
      <c r="O37" s="57"/>
    </row>
    <row r="38" ht="39.75" customHeight="1">
      <c r="A38" s="1"/>
      <c r="B38" s="135" t="str">
        <f>HYPERLINK("https://fr.wikipedia.org/wiki/R%C3%A9sultat_exceptionnel","Résultat exceptionnel")</f>
        <v>Résultat exceptionnel</v>
      </c>
      <c r="C38" s="85"/>
      <c r="D38" s="87">
        <f>D35+C36-C37</f>
        <v>35238.222</v>
      </c>
      <c r="E38" s="89">
        <f>D38/D9</f>
        <v>0.4625896772</v>
      </c>
      <c r="F38" s="90"/>
      <c r="G38" s="92">
        <f>G35+F36-F37</f>
        <v>-1720.7205</v>
      </c>
      <c r="H38" s="94">
        <f>G38/G9</f>
        <v>-0.01011040998</v>
      </c>
      <c r="I38" s="90"/>
      <c r="J38" s="92">
        <f>J35+I36-I37</f>
        <v>-9448.156421</v>
      </c>
      <c r="K38" s="94">
        <f>J38/J9</f>
        <v>-0.06009051958</v>
      </c>
      <c r="L38" s="90"/>
      <c r="M38" s="92">
        <f>M35+L36-L37</f>
        <v>-2060.048402</v>
      </c>
      <c r="N38" s="90"/>
      <c r="O38" s="92">
        <f>O35+N36-N37</f>
        <v>14282.67323</v>
      </c>
    </row>
    <row r="39" ht="39.75" customHeight="1">
      <c r="A39" s="1"/>
      <c r="B39" s="102" t="s">
        <v>108</v>
      </c>
      <c r="C39" s="53">
        <v>0.0</v>
      </c>
      <c r="D39" s="2"/>
      <c r="E39" s="2"/>
      <c r="F39" s="55">
        <f>$D$38*15/100</f>
        <v>5285.7333</v>
      </c>
      <c r="G39" s="57"/>
      <c r="H39" s="57"/>
      <c r="I39" s="55">
        <f>$D$38*15/100</f>
        <v>5285.7333</v>
      </c>
      <c r="J39" s="57"/>
      <c r="K39" s="57"/>
      <c r="L39" s="55">
        <f>$D$38*15/100</f>
        <v>5285.7333</v>
      </c>
      <c r="M39" s="57"/>
      <c r="N39" s="55">
        <f>$D$38*15/100</f>
        <v>5285.7333</v>
      </c>
      <c r="O39" s="57"/>
    </row>
    <row r="40" ht="39.75" customHeight="1">
      <c r="A40" s="1"/>
      <c r="B40" s="159" t="str">
        <f>HYPERLINK("https://fr.wikipedia.org/wiki/R%C3%A9sultat_net","Résultat net")</f>
        <v>Résultat net</v>
      </c>
      <c r="C40" s="90"/>
      <c r="D40" s="92">
        <f>D38-C39</f>
        <v>35238.222</v>
      </c>
      <c r="E40" s="94">
        <f>D40/D9</f>
        <v>0.4625896772</v>
      </c>
      <c r="F40" s="90"/>
      <c r="G40" s="92">
        <f>G38-F39</f>
        <v>-7006.4538</v>
      </c>
      <c r="H40" s="94">
        <f>G40/G9</f>
        <v>-0.04116770877</v>
      </c>
      <c r="I40" s="90"/>
      <c r="J40" s="92">
        <f>J38-I39</f>
        <v>-14733.88972</v>
      </c>
      <c r="K40" s="94">
        <f>J40/J9</f>
        <v>-0.09370792029</v>
      </c>
      <c r="L40" s="90"/>
      <c r="M40" s="92">
        <f>M38-L39</f>
        <v>-7345.781702</v>
      </c>
      <c r="N40" s="90"/>
      <c r="O40" s="92">
        <f>O38-N39</f>
        <v>8996.939927</v>
      </c>
    </row>
    <row r="41" ht="39.75" customHeight="1">
      <c r="A41" s="1"/>
      <c r="B41" s="162"/>
      <c r="C41" s="162"/>
      <c r="D41" s="162"/>
      <c r="E41" s="163"/>
      <c r="F41" s="163"/>
      <c r="G41" s="162"/>
      <c r="H41" s="162"/>
      <c r="I41" s="163"/>
      <c r="J41" s="162"/>
      <c r="K41" s="162"/>
      <c r="L41" s="163"/>
      <c r="M41" s="162"/>
      <c r="N41" s="163"/>
      <c r="O41" s="162"/>
    </row>
    <row r="42" ht="58.5" customHeight="1">
      <c r="A42" s="1"/>
      <c r="B42" s="164" t="s">
        <v>111</v>
      </c>
      <c r="C42" s="57"/>
      <c r="D42" s="165">
        <f>C10/D43</f>
        <v>71296.65534</v>
      </c>
      <c r="E42" s="120"/>
      <c r="F42" s="120"/>
      <c r="G42" s="92">
        <f>F10/G43</f>
        <v>181884.6827</v>
      </c>
      <c r="H42" s="165"/>
      <c r="I42" s="120"/>
      <c r="J42" s="92">
        <f>I10/J43</f>
        <v>176924.0638</v>
      </c>
      <c r="K42" s="92"/>
      <c r="L42" s="120"/>
      <c r="M42" s="92">
        <f>L10/M43</f>
        <v>176471.1453</v>
      </c>
      <c r="N42" s="120"/>
      <c r="O42" s="92">
        <f>N10/O43</f>
        <v>181518.819</v>
      </c>
    </row>
    <row r="43" ht="44.25" customHeight="1">
      <c r="A43" s="1"/>
      <c r="B43" s="164" t="s">
        <v>114</v>
      </c>
      <c r="C43" s="57"/>
      <c r="D43" s="94">
        <f>(C4-C21)/C4</f>
        <v>0.1026244494</v>
      </c>
      <c r="E43" s="2"/>
      <c r="F43" s="2"/>
      <c r="G43" s="94">
        <f>(F4-F21)/F4</f>
        <v>0.1288868428</v>
      </c>
      <c r="H43" s="162"/>
      <c r="I43" s="2"/>
      <c r="J43" s="94">
        <f>(I4-I21)/I4</f>
        <v>0.1384924471</v>
      </c>
      <c r="K43" s="57"/>
      <c r="L43" s="2"/>
      <c r="M43" s="94">
        <f>(L4-L21)/L4</f>
        <v>0.1516101137</v>
      </c>
      <c r="N43" s="2"/>
      <c r="O43" s="94">
        <f>(N4-N21)/N4</f>
        <v>0.1516101137</v>
      </c>
    </row>
    <row r="44" ht="15.75" customHeight="1">
      <c r="A44" s="1"/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</row>
    <row r="45" ht="15.75" customHeight="1">
      <c r="A45" s="1"/>
      <c r="B45" s="2" t="s">
        <v>116</v>
      </c>
      <c r="C45" s="2"/>
      <c r="D45" s="2"/>
      <c r="E45" s="2"/>
      <c r="F45" s="120">
        <f>(F4-9467)/11/16</f>
        <v>668.6960795</v>
      </c>
      <c r="G45" s="2"/>
      <c r="H45" s="2"/>
      <c r="I45" s="120">
        <f>(I4-9467)/11/16</f>
        <v>604.7942273</v>
      </c>
      <c r="J45" s="120"/>
      <c r="K45" s="120"/>
      <c r="L45" s="120">
        <f>(L4-9467)/11/16</f>
        <v>909.0957386</v>
      </c>
      <c r="M45" s="120"/>
      <c r="N45" s="120">
        <f>(N4-9467)/11/16</f>
        <v>909.0957386</v>
      </c>
      <c r="O45" s="2"/>
    </row>
    <row r="46" ht="15.75" customHeight="1">
      <c r="A46" s="1"/>
      <c r="B46" s="2" t="s">
        <v>118</v>
      </c>
      <c r="C46" s="2"/>
      <c r="D46" s="169"/>
      <c r="E46" s="169"/>
      <c r="F46" s="171">
        <f>F45*16</f>
        <v>10699.13727</v>
      </c>
      <c r="G46" s="169"/>
      <c r="H46" s="169"/>
      <c r="I46" s="171">
        <f>I45*16</f>
        <v>9676.707636</v>
      </c>
      <c r="J46" s="169"/>
      <c r="K46" s="169"/>
      <c r="L46" s="171">
        <f>L45*16</f>
        <v>14545.53182</v>
      </c>
      <c r="M46" s="169"/>
      <c r="N46" s="171">
        <f>N45*16</f>
        <v>14545.53182</v>
      </c>
      <c r="O46" s="2"/>
    </row>
    <row r="47" ht="15.75" customHeight="1">
      <c r="A47" s="1"/>
      <c r="B47" s="2" t="s">
        <v>120</v>
      </c>
      <c r="C47" s="2"/>
      <c r="D47" s="2"/>
      <c r="E47" s="2"/>
      <c r="F47" s="2"/>
      <c r="G47" s="120">
        <f>G42/12/16</f>
        <v>947.3160556</v>
      </c>
      <c r="H47" s="2"/>
      <c r="I47" s="2"/>
      <c r="J47" s="120">
        <f>J42/12/16</f>
        <v>921.4794988</v>
      </c>
      <c r="K47" s="2"/>
      <c r="L47" s="2"/>
      <c r="M47" s="120">
        <f>M42/12/16</f>
        <v>919.1205486</v>
      </c>
      <c r="N47" s="2"/>
      <c r="O47" s="120">
        <f>O42/12/16</f>
        <v>945.4105154</v>
      </c>
    </row>
    <row r="48">
      <c r="A48" s="1"/>
      <c r="B48" s="2" t="s">
        <v>122</v>
      </c>
      <c r="C48" s="2"/>
      <c r="D48" s="2"/>
      <c r="E48" s="2"/>
      <c r="F48" s="2"/>
      <c r="G48" s="120">
        <f>G47*16</f>
        <v>15157.05689</v>
      </c>
      <c r="H48" s="2"/>
      <c r="I48" s="2"/>
      <c r="J48" s="120">
        <f>J47*16</f>
        <v>14743.67198</v>
      </c>
      <c r="K48" s="2"/>
      <c r="L48" s="2"/>
      <c r="M48" s="120">
        <f>M47*16</f>
        <v>14705.92878</v>
      </c>
      <c r="N48" s="2"/>
      <c r="O48" s="120">
        <f>O47*16</f>
        <v>15126.56825</v>
      </c>
    </row>
    <row r="49">
      <c r="A49" s="1"/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</row>
    <row r="50" ht="15.75" customHeight="1">
      <c r="A50" s="1"/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</row>
    <row r="51">
      <c r="A51" s="1"/>
      <c r="B51" s="1" t="s">
        <v>125</v>
      </c>
      <c r="C51" s="178">
        <f>C10+C21+C27+C29+C30+C37+C39+C32</f>
        <v>67740.758</v>
      </c>
      <c r="D51" s="1"/>
      <c r="E51" s="1"/>
      <c r="F51" s="178">
        <f>F10+F21+F27+F29+F30+F37+F39+F32</f>
        <v>177472.4038</v>
      </c>
      <c r="G51" s="1"/>
      <c r="H51" s="1"/>
      <c r="I51" s="178">
        <f>I10+I21+I27+I29+I30+I37+I39+I32</f>
        <v>172238.9537</v>
      </c>
      <c r="J51" s="1"/>
      <c r="K51" s="1"/>
      <c r="L51" s="178">
        <f>L10+L21+L27+L29+L30+L37+L39+L32</f>
        <v>218407.9117</v>
      </c>
      <c r="M51" s="1"/>
      <c r="N51" s="178">
        <f>N10+N21+N27+N29+N30+N37+N39+N32</f>
        <v>236273.1901</v>
      </c>
      <c r="O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>
      <c r="A53" s="1"/>
      <c r="B53" s="1"/>
      <c r="C53" s="1"/>
      <c r="D53" s="1"/>
      <c r="E53" s="1"/>
      <c r="F53" s="2" t="s">
        <v>3</v>
      </c>
      <c r="G53" s="2" t="s">
        <v>4</v>
      </c>
      <c r="H53" s="2"/>
      <c r="I53" s="2" t="s">
        <v>5</v>
      </c>
      <c r="J53" s="2" t="s">
        <v>6</v>
      </c>
      <c r="K53" s="1"/>
      <c r="L53" s="1"/>
      <c r="M53" s="1"/>
      <c r="N53" s="1"/>
      <c r="O53" s="1"/>
    </row>
    <row r="54">
      <c r="A54" s="1"/>
      <c r="B54" s="2" t="s">
        <v>116</v>
      </c>
      <c r="C54" s="1"/>
      <c r="D54" s="2" t="s">
        <v>116</v>
      </c>
      <c r="E54" s="1"/>
      <c r="F54" s="181">
        <v>360.80028409090914</v>
      </c>
      <c r="G54" s="181">
        <v>604.7942272727273</v>
      </c>
      <c r="H54" s="181">
        <v>909.0957386363636</v>
      </c>
      <c r="I54" s="181">
        <v>909.0957386363636</v>
      </c>
      <c r="J54" s="181">
        <v>909.0957386363636</v>
      </c>
      <c r="K54" s="1"/>
      <c r="L54" s="1"/>
      <c r="M54" s="1"/>
      <c r="N54" s="1"/>
      <c r="O54" s="1"/>
    </row>
    <row r="55">
      <c r="A55" s="1"/>
      <c r="B55" s="2" t="s">
        <v>120</v>
      </c>
      <c r="C55" s="1"/>
      <c r="D55" s="2" t="s">
        <v>120</v>
      </c>
      <c r="E55" s="1"/>
      <c r="F55" s="181">
        <v>1036.7184254896638</v>
      </c>
      <c r="G55" s="181">
        <v>921.4794988315367</v>
      </c>
      <c r="H55" s="181">
        <v>919.1205486125831</v>
      </c>
      <c r="I55" s="181">
        <v>919.1205486125831</v>
      </c>
      <c r="J55" s="181">
        <v>945.4105153824465</v>
      </c>
      <c r="K55" s="1"/>
      <c r="L55" s="1"/>
      <c r="M55" s="1"/>
      <c r="N55" s="1"/>
      <c r="O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</sheetData>
  <mergeCells count="1">
    <mergeCell ref="C1:E1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1.22" defaultRowHeight="15.0"/>
  <cols>
    <col customWidth="1" hidden="1" min="1" max="2" width="7.67"/>
    <col customWidth="1" min="3" max="3" width="6.67"/>
    <col customWidth="1" min="4" max="4" width="27.22"/>
    <col customWidth="1" min="5" max="5" width="10.67"/>
    <col customWidth="1" min="6" max="11" width="12.11"/>
    <col customWidth="1" min="12" max="14" width="11.0"/>
    <col customWidth="1" min="15" max="17" width="12.11"/>
    <col customWidth="1" min="18" max="18" width="72.11"/>
    <col customWidth="1" min="19" max="28" width="7.67"/>
  </cols>
  <sheetData>
    <row r="1" ht="41.25" customHeight="1">
      <c r="A1" s="4"/>
      <c r="B1" s="4"/>
      <c r="C1" s="6"/>
      <c r="D1" s="24" t="s">
        <v>2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8"/>
      <c r="R1" s="4"/>
      <c r="S1" s="4"/>
      <c r="T1" s="4"/>
      <c r="U1" s="4"/>
      <c r="V1" s="1"/>
      <c r="W1" s="1"/>
      <c r="X1" s="1"/>
      <c r="Y1" s="1"/>
      <c r="Z1" s="1"/>
      <c r="AA1" s="1"/>
      <c r="AB1" s="1"/>
    </row>
    <row r="2" ht="13.5" customHeight="1">
      <c r="A2" s="26" t="s">
        <v>12</v>
      </c>
      <c r="B2" s="28" t="s">
        <v>13</v>
      </c>
      <c r="C2" s="30"/>
      <c r="D2" s="32"/>
      <c r="E2" s="34" t="s">
        <v>14</v>
      </c>
      <c r="F2" s="35">
        <v>42370.0</v>
      </c>
      <c r="G2" s="35">
        <v>42401.0</v>
      </c>
      <c r="H2" s="35">
        <v>42430.0</v>
      </c>
      <c r="I2" s="35">
        <v>42461.0</v>
      </c>
      <c r="J2" s="35">
        <v>42491.0</v>
      </c>
      <c r="K2" s="35">
        <v>42522.0</v>
      </c>
      <c r="L2" s="35">
        <v>42552.0</v>
      </c>
      <c r="M2" s="35">
        <v>42583.0</v>
      </c>
      <c r="N2" s="35">
        <v>42614.0</v>
      </c>
      <c r="O2" s="35">
        <v>42644.0</v>
      </c>
      <c r="P2" s="35">
        <v>42675.0</v>
      </c>
      <c r="Q2" s="37">
        <v>42705.0</v>
      </c>
      <c r="R2" s="39" t="s">
        <v>16</v>
      </c>
      <c r="S2" s="1"/>
      <c r="T2" s="1"/>
      <c r="U2" s="1"/>
      <c r="V2" s="1"/>
      <c r="W2" s="1"/>
      <c r="X2" s="1"/>
      <c r="Y2" s="1"/>
      <c r="Z2" s="1"/>
      <c r="AA2" s="1"/>
      <c r="AB2" s="1"/>
    </row>
    <row r="3" ht="6.75" customHeight="1">
      <c r="A3" s="1"/>
      <c r="B3" s="1"/>
      <c r="C3" s="1"/>
      <c r="D3" s="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6"/>
      <c r="S3" s="1"/>
      <c r="T3" s="1"/>
      <c r="U3" s="1"/>
      <c r="V3" s="1"/>
      <c r="W3" s="1"/>
      <c r="X3" s="1"/>
      <c r="Y3" s="1"/>
      <c r="Z3" s="1"/>
      <c r="AA3" s="1"/>
      <c r="AB3" s="1"/>
    </row>
    <row r="4" ht="13.5" customHeight="1">
      <c r="A4" s="1"/>
      <c r="B4" s="1"/>
      <c r="C4" s="41"/>
      <c r="D4" s="48" t="s">
        <v>22</v>
      </c>
      <c r="E4" s="50">
        <f>+SUM(E5:E8)</f>
        <v>76175.98</v>
      </c>
      <c r="F4" s="52">
        <f t="shared" ref="F4:Q4" si="1">SUM(F5:F8)</f>
        <v>2868.48</v>
      </c>
      <c r="G4" s="52">
        <f t="shared" si="1"/>
        <v>3498.98</v>
      </c>
      <c r="H4" s="52">
        <f t="shared" si="1"/>
        <v>4001.25</v>
      </c>
      <c r="I4" s="52">
        <f t="shared" si="1"/>
        <v>4123.36</v>
      </c>
      <c r="J4" s="52">
        <f t="shared" si="1"/>
        <v>4156.36</v>
      </c>
      <c r="K4" s="52">
        <f t="shared" si="1"/>
        <v>4954.97</v>
      </c>
      <c r="L4" s="52">
        <f t="shared" si="1"/>
        <v>2370.35</v>
      </c>
      <c r="M4" s="52">
        <f t="shared" si="1"/>
        <v>3167.29</v>
      </c>
      <c r="N4" s="52">
        <f t="shared" si="1"/>
        <v>9340.98</v>
      </c>
      <c r="O4" s="52">
        <f t="shared" si="1"/>
        <v>10192.09</v>
      </c>
      <c r="P4" s="52">
        <f t="shared" si="1"/>
        <v>13304.97</v>
      </c>
      <c r="Q4" s="54">
        <f t="shared" si="1"/>
        <v>14196.9</v>
      </c>
      <c r="R4" s="4"/>
      <c r="S4" s="1"/>
      <c r="T4" s="1"/>
      <c r="U4" s="1"/>
      <c r="V4" s="1"/>
      <c r="W4" s="1"/>
      <c r="X4" s="1"/>
      <c r="Y4" s="1"/>
      <c r="Z4" s="1"/>
      <c r="AA4" s="1"/>
      <c r="AB4" s="1"/>
    </row>
    <row r="5" ht="13.5" customHeight="1">
      <c r="A5" s="1"/>
      <c r="B5" s="1"/>
      <c r="C5" s="56">
        <v>707.0</v>
      </c>
      <c r="D5" s="58" t="s">
        <v>23</v>
      </c>
      <c r="E5" s="60">
        <f t="shared" ref="E5:E8" si="2">+SUM(F5:Q5)</f>
        <v>56481.18</v>
      </c>
      <c r="F5" s="62">
        <v>2608.48</v>
      </c>
      <c r="G5" s="62">
        <v>2513.98</v>
      </c>
      <c r="H5" s="62">
        <v>3156.25</v>
      </c>
      <c r="I5" s="62">
        <v>3298.36</v>
      </c>
      <c r="J5" s="62">
        <v>3691.36</v>
      </c>
      <c r="K5" s="62">
        <v>4474.97</v>
      </c>
      <c r="L5" s="62">
        <v>2165.35</v>
      </c>
      <c r="M5" s="62">
        <v>2912.29</v>
      </c>
      <c r="N5" s="62">
        <v>5720.98</v>
      </c>
      <c r="O5" s="62">
        <v>5947.19</v>
      </c>
      <c r="P5" s="62">
        <v>8590.02</v>
      </c>
      <c r="Q5" s="64">
        <v>11401.95</v>
      </c>
      <c r="R5" s="4"/>
      <c r="S5" s="1"/>
      <c r="T5" s="1"/>
      <c r="U5" s="1"/>
      <c r="V5" s="1"/>
      <c r="W5" s="1"/>
      <c r="X5" s="1"/>
      <c r="Y5" s="1"/>
      <c r="Z5" s="1"/>
      <c r="AA5" s="1"/>
      <c r="AB5" s="1"/>
    </row>
    <row r="6" ht="13.5" customHeight="1">
      <c r="A6" s="1"/>
      <c r="B6" s="1"/>
      <c r="C6" s="56">
        <v>756.0</v>
      </c>
      <c r="D6" s="66" t="s">
        <v>25</v>
      </c>
      <c r="E6" s="60">
        <f t="shared" si="2"/>
        <v>11380</v>
      </c>
      <c r="F6" s="62">
        <v>260.0</v>
      </c>
      <c r="G6" s="62">
        <v>940.0</v>
      </c>
      <c r="H6" s="62">
        <v>805.0</v>
      </c>
      <c r="I6" s="62">
        <v>735.0</v>
      </c>
      <c r="J6" s="62">
        <v>415.0</v>
      </c>
      <c r="K6" s="62">
        <v>435.0</v>
      </c>
      <c r="L6" s="62">
        <v>205.0</v>
      </c>
      <c r="M6" s="62">
        <v>235.0</v>
      </c>
      <c r="N6" s="62">
        <v>1115.0</v>
      </c>
      <c r="O6" s="62">
        <v>1580.0</v>
      </c>
      <c r="P6" s="62">
        <v>3210.0</v>
      </c>
      <c r="Q6" s="64">
        <v>1445.0</v>
      </c>
      <c r="R6" s="4"/>
      <c r="S6" s="1"/>
      <c r="T6" s="1"/>
      <c r="U6" s="1"/>
      <c r="V6" s="1"/>
      <c r="W6" s="1"/>
      <c r="X6" s="1"/>
      <c r="Y6" s="1"/>
      <c r="Z6" s="1"/>
      <c r="AA6" s="1"/>
      <c r="AB6" s="1"/>
    </row>
    <row r="7" ht="13.5" customHeight="1">
      <c r="A7" s="1"/>
      <c r="B7" s="1"/>
      <c r="C7" s="56">
        <v>7561.0</v>
      </c>
      <c r="D7" s="66" t="s">
        <v>26</v>
      </c>
      <c r="E7" s="60">
        <f t="shared" si="2"/>
        <v>635</v>
      </c>
      <c r="F7" s="62">
        <v>0.0</v>
      </c>
      <c r="G7" s="62">
        <v>45.0</v>
      </c>
      <c r="H7" s="62">
        <v>40.0</v>
      </c>
      <c r="I7" s="62">
        <v>90.0</v>
      </c>
      <c r="J7" s="62">
        <v>50.0</v>
      </c>
      <c r="K7" s="62">
        <v>45.0</v>
      </c>
      <c r="L7" s="62">
        <v>0.0</v>
      </c>
      <c r="M7" s="62">
        <v>20.0</v>
      </c>
      <c r="N7" s="62">
        <v>105.0</v>
      </c>
      <c r="O7" s="62">
        <v>25.0</v>
      </c>
      <c r="P7" s="62">
        <v>185.0</v>
      </c>
      <c r="Q7" s="64">
        <v>30.0</v>
      </c>
      <c r="R7" s="4"/>
      <c r="S7" s="1"/>
      <c r="T7" s="1"/>
      <c r="U7" s="1"/>
      <c r="V7" s="1"/>
      <c r="W7" s="1"/>
      <c r="X7" s="1"/>
      <c r="Y7" s="1"/>
      <c r="Z7" s="1"/>
      <c r="AA7" s="1"/>
      <c r="AB7" s="1"/>
    </row>
    <row r="8" ht="13.5" customHeight="1">
      <c r="A8" s="1"/>
      <c r="B8" s="1"/>
      <c r="C8" s="56">
        <v>74.0</v>
      </c>
      <c r="D8" s="69" t="s">
        <v>28</v>
      </c>
      <c r="E8" s="70">
        <f t="shared" si="2"/>
        <v>7679.8</v>
      </c>
      <c r="F8" s="71"/>
      <c r="G8" s="71"/>
      <c r="H8" s="71"/>
      <c r="I8" s="71"/>
      <c r="J8" s="71"/>
      <c r="K8" s="71"/>
      <c r="L8" s="71"/>
      <c r="M8" s="71"/>
      <c r="N8" s="62">
        <v>2400.0</v>
      </c>
      <c r="O8" s="62">
        <v>2639.9</v>
      </c>
      <c r="P8" s="62">
        <v>1319.95</v>
      </c>
      <c r="Q8" s="64">
        <v>1319.95</v>
      </c>
      <c r="R8" s="4"/>
      <c r="S8" s="1"/>
      <c r="T8" s="1"/>
      <c r="U8" s="1"/>
      <c r="V8" s="1"/>
      <c r="W8" s="1"/>
      <c r="X8" s="1"/>
      <c r="Y8" s="1"/>
      <c r="Z8" s="1"/>
      <c r="AA8" s="1"/>
      <c r="AB8" s="1"/>
    </row>
    <row r="9" ht="13.5" customHeight="1">
      <c r="A9" s="1"/>
      <c r="B9" s="41"/>
      <c r="C9" s="41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4"/>
      <c r="S9" s="1"/>
      <c r="T9" s="1"/>
      <c r="U9" s="1"/>
      <c r="V9" s="1"/>
      <c r="W9" s="1"/>
      <c r="X9" s="1"/>
      <c r="Y9" s="1"/>
      <c r="Z9" s="1"/>
      <c r="AA9" s="1"/>
      <c r="AB9" s="1"/>
    </row>
    <row r="10" ht="13.5" customHeight="1">
      <c r="A10" s="1"/>
      <c r="B10" s="1"/>
      <c r="C10" s="41"/>
      <c r="D10" s="48" t="s">
        <v>29</v>
      </c>
      <c r="E10" s="77">
        <f>+SUM(E13:E30)</f>
        <v>66909.03</v>
      </c>
      <c r="F10" s="80">
        <f t="shared" ref="F10:Q10" si="3">SUM(F11:F30)</f>
        <v>2126.29</v>
      </c>
      <c r="G10" s="80">
        <f t="shared" si="3"/>
        <v>2693.79</v>
      </c>
      <c r="H10" s="80">
        <f t="shared" si="3"/>
        <v>2765.99</v>
      </c>
      <c r="I10" s="80">
        <f t="shared" si="3"/>
        <v>3610.04</v>
      </c>
      <c r="J10" s="80">
        <f t="shared" si="3"/>
        <v>3693.31</v>
      </c>
      <c r="K10" s="80">
        <f t="shared" si="3"/>
        <v>4974.57</v>
      </c>
      <c r="L10" s="80">
        <f t="shared" si="3"/>
        <v>2832.41</v>
      </c>
      <c r="M10" s="80">
        <f t="shared" si="3"/>
        <v>4516.61</v>
      </c>
      <c r="N10" s="80">
        <f t="shared" si="3"/>
        <v>5291.31</v>
      </c>
      <c r="O10" s="80">
        <f t="shared" si="3"/>
        <v>7732.77</v>
      </c>
      <c r="P10" s="80">
        <f t="shared" si="3"/>
        <v>11200.61</v>
      </c>
      <c r="Q10" s="83">
        <f t="shared" si="3"/>
        <v>22879.97</v>
      </c>
      <c r="R10" s="4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ht="13.5" customHeight="1">
      <c r="A11" s="1"/>
      <c r="B11" s="1"/>
      <c r="C11" s="56">
        <v>213.0</v>
      </c>
      <c r="D11" s="86" t="s">
        <v>36</v>
      </c>
      <c r="E11" s="88">
        <f t="shared" ref="E11:E30" si="4">+SUM(F11:Q11)</f>
        <v>0</v>
      </c>
      <c r="F11" s="62">
        <v>0.0</v>
      </c>
      <c r="G11" s="62">
        <v>0.0</v>
      </c>
      <c r="H11" s="62">
        <v>0.0</v>
      </c>
      <c r="I11" s="62">
        <v>0.0</v>
      </c>
      <c r="J11" s="62">
        <v>0.0</v>
      </c>
      <c r="K11" s="62">
        <v>0.0</v>
      </c>
      <c r="L11" s="62">
        <v>0.0</v>
      </c>
      <c r="M11" s="62">
        <v>0.0</v>
      </c>
      <c r="N11" s="62">
        <v>0.0</v>
      </c>
      <c r="O11" s="62">
        <v>0.0</v>
      </c>
      <c r="P11" s="62">
        <v>0.0</v>
      </c>
      <c r="Q11" s="64">
        <v>0.0</v>
      </c>
      <c r="R11" s="4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ht="13.5" customHeight="1">
      <c r="A12" s="1"/>
      <c r="B12" s="1"/>
      <c r="C12" s="56">
        <v>2184.0</v>
      </c>
      <c r="D12" s="86" t="s">
        <v>37</v>
      </c>
      <c r="E12" s="88">
        <f t="shared" si="4"/>
        <v>7408.64</v>
      </c>
      <c r="F12" s="62">
        <v>0.0</v>
      </c>
      <c r="G12" s="62">
        <v>0.0</v>
      </c>
      <c r="H12" s="62">
        <v>0.0</v>
      </c>
      <c r="I12" s="62">
        <v>0.0</v>
      </c>
      <c r="J12" s="62">
        <v>0.0</v>
      </c>
      <c r="K12" s="62">
        <v>0.0</v>
      </c>
      <c r="L12" s="62">
        <v>0.0</v>
      </c>
      <c r="M12" s="62">
        <v>0.0</v>
      </c>
      <c r="N12" s="62">
        <v>0.0</v>
      </c>
      <c r="O12" s="62">
        <v>0.0</v>
      </c>
      <c r="P12" s="62">
        <v>327.88</v>
      </c>
      <c r="Q12" s="64">
        <v>7080.76</v>
      </c>
      <c r="R12" s="4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ht="13.5" customHeight="1">
      <c r="A13" s="1"/>
      <c r="B13" s="1"/>
      <c r="C13" s="56">
        <v>2755.0</v>
      </c>
      <c r="D13" s="66" t="s">
        <v>38</v>
      </c>
      <c r="E13" s="88">
        <f t="shared" si="4"/>
        <v>650</v>
      </c>
      <c r="F13" s="62">
        <v>0.0</v>
      </c>
      <c r="G13" s="93">
        <v>0.0</v>
      </c>
      <c r="H13" s="62">
        <v>0.0</v>
      </c>
      <c r="I13" s="62">
        <v>0.0</v>
      </c>
      <c r="J13" s="62">
        <v>0.0</v>
      </c>
      <c r="K13" s="62">
        <v>650.0</v>
      </c>
      <c r="L13" s="62">
        <v>0.0</v>
      </c>
      <c r="M13" s="62">
        <v>0.0</v>
      </c>
      <c r="N13" s="62">
        <v>0.0</v>
      </c>
      <c r="O13" s="62">
        <v>0.0</v>
      </c>
      <c r="P13" s="62">
        <v>0.0</v>
      </c>
      <c r="Q13" s="64">
        <v>0.0</v>
      </c>
      <c r="R13" s="4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ht="13.5" customHeight="1">
      <c r="A14" s="1"/>
      <c r="B14" s="1"/>
      <c r="C14" s="56">
        <v>447.0</v>
      </c>
      <c r="D14" s="66" t="s">
        <v>39</v>
      </c>
      <c r="E14" s="60">
        <f t="shared" si="4"/>
        <v>0</v>
      </c>
      <c r="F14" s="62">
        <v>0.0</v>
      </c>
      <c r="G14" s="62">
        <v>0.0</v>
      </c>
      <c r="H14" s="62">
        <v>0.0</v>
      </c>
      <c r="I14" s="62">
        <v>0.0</v>
      </c>
      <c r="J14" s="62">
        <v>0.0</v>
      </c>
      <c r="K14" s="62">
        <v>0.0</v>
      </c>
      <c r="L14" s="62">
        <v>0.0</v>
      </c>
      <c r="M14" s="62">
        <v>0.0</v>
      </c>
      <c r="N14" s="62">
        <v>0.0</v>
      </c>
      <c r="O14" s="62">
        <v>0.0</v>
      </c>
      <c r="P14" s="62">
        <v>0.0</v>
      </c>
      <c r="Q14" s="64">
        <v>0.0</v>
      </c>
      <c r="R14" s="4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ht="13.5" customHeight="1">
      <c r="A15" s="1"/>
      <c r="B15" s="1"/>
      <c r="C15" s="56">
        <v>604.0</v>
      </c>
      <c r="D15" s="66" t="s">
        <v>40</v>
      </c>
      <c r="E15" s="60">
        <f t="shared" si="4"/>
        <v>231.2</v>
      </c>
      <c r="F15" s="62">
        <v>0.0</v>
      </c>
      <c r="G15" s="62">
        <v>0.0</v>
      </c>
      <c r="H15" s="62">
        <v>0.0</v>
      </c>
      <c r="I15" s="62">
        <v>0.0</v>
      </c>
      <c r="J15" s="62">
        <v>0.0</v>
      </c>
      <c r="K15" s="62">
        <v>0.0</v>
      </c>
      <c r="L15" s="62">
        <v>0.0</v>
      </c>
      <c r="M15" s="62">
        <v>0.0</v>
      </c>
      <c r="N15" s="62">
        <v>0.0</v>
      </c>
      <c r="O15" s="62">
        <v>109.4</v>
      </c>
      <c r="P15" s="62">
        <v>121.8</v>
      </c>
      <c r="Q15" s="64">
        <v>0.0</v>
      </c>
      <c r="R15" s="4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ht="13.5" customHeight="1">
      <c r="A16" s="1"/>
      <c r="B16" s="1"/>
      <c r="C16" s="56">
        <v>60612.0</v>
      </c>
      <c r="D16" s="66" t="s">
        <v>42</v>
      </c>
      <c r="E16" s="60">
        <f t="shared" si="4"/>
        <v>496.19</v>
      </c>
      <c r="F16" s="62">
        <v>0.0</v>
      </c>
      <c r="G16" s="62">
        <v>0.0</v>
      </c>
      <c r="H16" s="62">
        <v>0.0</v>
      </c>
      <c r="I16" s="62">
        <v>0.0</v>
      </c>
      <c r="J16" s="62">
        <v>0.0</v>
      </c>
      <c r="K16" s="62">
        <v>0.0</v>
      </c>
      <c r="L16" s="62">
        <v>0.0</v>
      </c>
      <c r="M16" s="62">
        <v>94.06</v>
      </c>
      <c r="N16" s="62">
        <v>0.0</v>
      </c>
      <c r="O16" s="62">
        <v>272.02</v>
      </c>
      <c r="P16" s="62">
        <v>0.0</v>
      </c>
      <c r="Q16" s="64">
        <v>130.11</v>
      </c>
      <c r="R16" s="4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ht="13.5" customHeight="1">
      <c r="A17" s="97"/>
      <c r="B17" s="97"/>
      <c r="C17" s="56">
        <v>60611.0</v>
      </c>
      <c r="D17" s="66" t="s">
        <v>44</v>
      </c>
      <c r="E17" s="60">
        <f t="shared" si="4"/>
        <v>54.91</v>
      </c>
      <c r="F17" s="62">
        <v>0.0</v>
      </c>
      <c r="G17" s="62">
        <v>0.0</v>
      </c>
      <c r="H17" s="62">
        <v>0.0</v>
      </c>
      <c r="I17" s="62">
        <v>0.0</v>
      </c>
      <c r="J17" s="62">
        <v>0.0</v>
      </c>
      <c r="K17" s="62">
        <v>0.0</v>
      </c>
      <c r="L17" s="62">
        <v>0.0</v>
      </c>
      <c r="M17" s="62">
        <v>0.0</v>
      </c>
      <c r="N17" s="62">
        <v>0.0</v>
      </c>
      <c r="O17" s="62">
        <v>0.0</v>
      </c>
      <c r="P17" s="62">
        <v>0.0</v>
      </c>
      <c r="Q17" s="64">
        <v>54.91</v>
      </c>
      <c r="R17" s="4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ht="13.5" customHeight="1">
      <c r="A18" s="97"/>
      <c r="B18" s="97"/>
      <c r="C18" s="56">
        <v>6064.0</v>
      </c>
      <c r="D18" s="66" t="s">
        <v>45</v>
      </c>
      <c r="E18" s="60">
        <f t="shared" si="4"/>
        <v>257.99</v>
      </c>
      <c r="F18" s="62">
        <v>22.95</v>
      </c>
      <c r="G18" s="62">
        <v>0.0</v>
      </c>
      <c r="H18" s="62">
        <v>0.0</v>
      </c>
      <c r="I18" s="62">
        <v>0.0</v>
      </c>
      <c r="J18" s="62">
        <v>95.69</v>
      </c>
      <c r="K18" s="62">
        <v>19.29</v>
      </c>
      <c r="L18" s="62">
        <v>0.0</v>
      </c>
      <c r="M18" s="62">
        <v>45.0</v>
      </c>
      <c r="N18" s="62">
        <v>40.0</v>
      </c>
      <c r="O18" s="62">
        <v>0.0</v>
      </c>
      <c r="P18" s="62">
        <v>35.06</v>
      </c>
      <c r="Q18" s="64">
        <v>0.0</v>
      </c>
      <c r="R18" s="4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ht="13.5" customHeight="1">
      <c r="A19" s="1"/>
      <c r="B19" s="1"/>
      <c r="C19" s="56">
        <v>607.0</v>
      </c>
      <c r="D19" s="58" t="s">
        <v>46</v>
      </c>
      <c r="E19" s="60">
        <f t="shared" si="4"/>
        <v>50108.64</v>
      </c>
      <c r="F19" s="62">
        <v>2052.17</v>
      </c>
      <c r="G19" s="62">
        <v>2632.85</v>
      </c>
      <c r="H19" s="62">
        <v>2718.69</v>
      </c>
      <c r="I19" s="62">
        <v>3501.68</v>
      </c>
      <c r="J19" s="62">
        <v>3254.84</v>
      </c>
      <c r="K19" s="62">
        <v>3496.88</v>
      </c>
      <c r="L19" s="62">
        <v>1901.82</v>
      </c>
      <c r="M19" s="62">
        <v>2222.31</v>
      </c>
      <c r="N19" s="62">
        <v>4826.15</v>
      </c>
      <c r="O19" s="62">
        <v>5957.03</v>
      </c>
      <c r="P19" s="62">
        <v>7142.99</v>
      </c>
      <c r="Q19" s="64">
        <v>10401.23</v>
      </c>
      <c r="R19" s="4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ht="13.5" customHeight="1">
      <c r="A20" s="1"/>
      <c r="B20" s="1"/>
      <c r="C20" s="56">
        <v>6132.0</v>
      </c>
      <c r="D20" s="66" t="s">
        <v>47</v>
      </c>
      <c r="E20" s="60">
        <f t="shared" si="4"/>
        <v>4815</v>
      </c>
      <c r="F20" s="62">
        <v>0.0</v>
      </c>
      <c r="G20" s="62">
        <v>0.0</v>
      </c>
      <c r="H20" s="62">
        <v>0.0</v>
      </c>
      <c r="I20" s="62">
        <v>0.0</v>
      </c>
      <c r="J20" s="62">
        <v>250.0</v>
      </c>
      <c r="K20" s="62">
        <v>665.0</v>
      </c>
      <c r="L20" s="62">
        <v>0.0</v>
      </c>
      <c r="M20" s="62">
        <v>1950.0</v>
      </c>
      <c r="N20" s="62">
        <v>0.0</v>
      </c>
      <c r="O20" s="62">
        <v>0.0</v>
      </c>
      <c r="P20" s="62">
        <v>1950.0</v>
      </c>
      <c r="Q20" s="64">
        <v>0.0</v>
      </c>
      <c r="R20" s="4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ht="13.5" customHeight="1">
      <c r="A21" s="1"/>
      <c r="B21" s="1"/>
      <c r="C21" s="56">
        <v>6152.0</v>
      </c>
      <c r="D21" s="66" t="s">
        <v>48</v>
      </c>
      <c r="E21" s="60">
        <f t="shared" si="4"/>
        <v>972.11</v>
      </c>
      <c r="F21" s="62">
        <v>0.0</v>
      </c>
      <c r="G21" s="62">
        <v>0.0</v>
      </c>
      <c r="H21" s="62">
        <v>0.0</v>
      </c>
      <c r="I21" s="62">
        <v>0.0</v>
      </c>
      <c r="J21" s="62">
        <v>0.0</v>
      </c>
      <c r="K21" s="62">
        <v>57.75</v>
      </c>
      <c r="L21" s="62">
        <v>572.06</v>
      </c>
      <c r="M21" s="62">
        <v>58.2</v>
      </c>
      <c r="N21" s="62">
        <v>144.64</v>
      </c>
      <c r="O21" s="62">
        <v>94.13</v>
      </c>
      <c r="P21" s="62">
        <v>26.07</v>
      </c>
      <c r="Q21" s="64">
        <v>19.26</v>
      </c>
      <c r="R21" s="4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ht="13.5" customHeight="1">
      <c r="A22" s="1"/>
      <c r="B22" s="1"/>
      <c r="C22" s="56">
        <v>616.0</v>
      </c>
      <c r="D22" s="66" t="s">
        <v>49</v>
      </c>
      <c r="E22" s="60">
        <f t="shared" si="4"/>
        <v>173.08</v>
      </c>
      <c r="F22" s="62">
        <v>0.0</v>
      </c>
      <c r="G22" s="62">
        <v>0.0</v>
      </c>
      <c r="H22" s="62">
        <v>0.0</v>
      </c>
      <c r="I22" s="62">
        <v>0.0</v>
      </c>
      <c r="J22" s="62">
        <v>0.0</v>
      </c>
      <c r="K22" s="62">
        <v>0.0</v>
      </c>
      <c r="L22" s="62">
        <v>173.08</v>
      </c>
      <c r="M22" s="62">
        <v>0.0</v>
      </c>
      <c r="N22" s="62">
        <v>0.0</v>
      </c>
      <c r="O22" s="62">
        <v>0.0</v>
      </c>
      <c r="P22" s="62">
        <v>0.0</v>
      </c>
      <c r="Q22" s="64">
        <v>0.0</v>
      </c>
      <c r="R22" s="4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ht="13.5" customHeight="1">
      <c r="A23" s="1"/>
      <c r="B23" s="1"/>
      <c r="C23" s="56">
        <v>6227.0</v>
      </c>
      <c r="D23" s="66" t="s">
        <v>51</v>
      </c>
      <c r="E23" s="60">
        <f t="shared" si="4"/>
        <v>0</v>
      </c>
      <c r="F23" s="62">
        <v>0.0</v>
      </c>
      <c r="G23" s="62">
        <v>0.0</v>
      </c>
      <c r="H23" s="62">
        <v>0.0</v>
      </c>
      <c r="I23" s="62">
        <v>0.0</v>
      </c>
      <c r="J23" s="62">
        <v>0.0</v>
      </c>
      <c r="K23" s="62">
        <v>0.0</v>
      </c>
      <c r="L23" s="62">
        <v>0.0</v>
      </c>
      <c r="M23" s="62">
        <v>0.0</v>
      </c>
      <c r="N23" s="62">
        <v>0.0</v>
      </c>
      <c r="O23" s="62">
        <v>0.0</v>
      </c>
      <c r="P23" s="62">
        <v>0.0</v>
      </c>
      <c r="Q23" s="64">
        <v>0.0</v>
      </c>
      <c r="R23" s="4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ht="13.5" customHeight="1">
      <c r="A24" s="1"/>
      <c r="B24" s="1"/>
      <c r="C24" s="56">
        <v>6251.0</v>
      </c>
      <c r="D24" s="66" t="s">
        <v>52</v>
      </c>
      <c r="E24" s="60">
        <f t="shared" si="4"/>
        <v>576.19</v>
      </c>
      <c r="F24" s="62">
        <v>23.4</v>
      </c>
      <c r="G24" s="62">
        <v>40.0</v>
      </c>
      <c r="H24" s="62">
        <v>40.0</v>
      </c>
      <c r="I24" s="62">
        <v>62.0</v>
      </c>
      <c r="J24" s="62">
        <v>50.0</v>
      </c>
      <c r="K24" s="62">
        <v>60.0</v>
      </c>
      <c r="L24" s="62">
        <v>0.0</v>
      </c>
      <c r="M24" s="62">
        <v>51.0</v>
      </c>
      <c r="N24" s="62">
        <v>112.01</v>
      </c>
      <c r="O24" s="62">
        <v>60.0</v>
      </c>
      <c r="P24" s="62">
        <v>47.78</v>
      </c>
      <c r="Q24" s="64">
        <v>30.0</v>
      </c>
      <c r="R24" s="4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ht="13.5" customHeight="1">
      <c r="A25" s="1"/>
      <c r="B25" s="1"/>
      <c r="C25" s="56">
        <v>626.0</v>
      </c>
      <c r="D25" s="66" t="s">
        <v>53</v>
      </c>
      <c r="E25" s="60">
        <f t="shared" si="4"/>
        <v>230.02</v>
      </c>
      <c r="F25" s="62">
        <v>0.0</v>
      </c>
      <c r="G25" s="62">
        <v>0.0</v>
      </c>
      <c r="H25" s="62">
        <v>0.0</v>
      </c>
      <c r="I25" s="62">
        <v>26.8</v>
      </c>
      <c r="J25" s="62">
        <v>0.0</v>
      </c>
      <c r="K25" s="62">
        <v>0.0</v>
      </c>
      <c r="L25" s="62">
        <v>78.15</v>
      </c>
      <c r="M25" s="62">
        <v>17.99</v>
      </c>
      <c r="N25" s="62">
        <v>17.99</v>
      </c>
      <c r="O25" s="62">
        <v>11.79</v>
      </c>
      <c r="P25" s="62">
        <v>59.31</v>
      </c>
      <c r="Q25" s="64">
        <v>17.99</v>
      </c>
      <c r="R25" s="4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ht="13.5" customHeight="1">
      <c r="A26" s="1"/>
      <c r="B26" s="1"/>
      <c r="C26" s="56">
        <v>627.0</v>
      </c>
      <c r="D26" s="66" t="s">
        <v>50</v>
      </c>
      <c r="E26" s="60">
        <f t="shared" si="4"/>
        <v>204.15</v>
      </c>
      <c r="F26" s="71">
        <v>17.77</v>
      </c>
      <c r="G26" s="71">
        <v>7.3</v>
      </c>
      <c r="H26" s="71">
        <v>7.3</v>
      </c>
      <c r="I26" s="71">
        <v>19.56</v>
      </c>
      <c r="J26" s="71">
        <v>13.06</v>
      </c>
      <c r="K26" s="71">
        <v>25.65</v>
      </c>
      <c r="L26" s="71">
        <v>7.3</v>
      </c>
      <c r="M26" s="71">
        <v>7.3</v>
      </c>
      <c r="N26" s="62">
        <v>24.19</v>
      </c>
      <c r="O26" s="62">
        <v>7.3</v>
      </c>
      <c r="P26" s="62">
        <v>7.3</v>
      </c>
      <c r="Q26" s="64">
        <v>60.12</v>
      </c>
      <c r="R26" s="4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ht="13.5" customHeight="1">
      <c r="A27" s="1"/>
      <c r="B27" s="1"/>
      <c r="C27" s="56">
        <v>6411.0</v>
      </c>
      <c r="D27" s="66" t="s">
        <v>54</v>
      </c>
      <c r="E27" s="60">
        <f t="shared" si="4"/>
        <v>3370.26</v>
      </c>
      <c r="F27" s="62">
        <v>0.0</v>
      </c>
      <c r="G27" s="62">
        <v>0.0</v>
      </c>
      <c r="H27" s="62">
        <v>0.0</v>
      </c>
      <c r="I27" s="62">
        <v>0.0</v>
      </c>
      <c r="J27" s="62">
        <v>0.0</v>
      </c>
      <c r="K27" s="62">
        <v>0.0</v>
      </c>
      <c r="L27" s="62">
        <v>0.0</v>
      </c>
      <c r="M27" s="62">
        <v>0.0</v>
      </c>
      <c r="N27" s="62">
        <v>0.0</v>
      </c>
      <c r="O27" s="62">
        <v>1123.42</v>
      </c>
      <c r="P27" s="62">
        <v>1123.42</v>
      </c>
      <c r="Q27" s="64">
        <v>1123.42</v>
      </c>
      <c r="R27" s="4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ht="13.5" customHeight="1">
      <c r="A28" s="1"/>
      <c r="B28" s="1"/>
      <c r="C28" s="56">
        <v>6451.0</v>
      </c>
      <c r="D28" s="66" t="s">
        <v>55</v>
      </c>
      <c r="E28" s="60">
        <f t="shared" si="4"/>
        <v>359</v>
      </c>
      <c r="F28" s="62"/>
      <c r="G28" s="62"/>
      <c r="H28" s="62"/>
      <c r="I28" s="62"/>
      <c r="J28" s="62"/>
      <c r="K28" s="62"/>
      <c r="L28" s="62"/>
      <c r="M28" s="62"/>
      <c r="N28" s="62">
        <v>0.0</v>
      </c>
      <c r="O28" s="62">
        <v>0.0</v>
      </c>
      <c r="P28" s="62">
        <v>359.0</v>
      </c>
      <c r="Q28" s="64">
        <v>0.0</v>
      </c>
      <c r="R28" s="4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ht="16.5" customHeight="1">
      <c r="A29" s="1"/>
      <c r="B29" s="1"/>
      <c r="C29" s="56">
        <v>651.0</v>
      </c>
      <c r="D29" s="66" t="s">
        <v>56</v>
      </c>
      <c r="E29" s="60">
        <f t="shared" si="4"/>
        <v>113.33</v>
      </c>
      <c r="F29" s="62">
        <v>0.0</v>
      </c>
      <c r="G29" s="62">
        <v>13.64</v>
      </c>
      <c r="H29" s="62">
        <v>0.0</v>
      </c>
      <c r="I29" s="62">
        <v>0.0</v>
      </c>
      <c r="J29" s="62">
        <v>29.72</v>
      </c>
      <c r="K29" s="62">
        <v>0.0</v>
      </c>
      <c r="L29" s="62">
        <v>0.0</v>
      </c>
      <c r="M29" s="62">
        <v>0.0</v>
      </c>
      <c r="N29" s="62">
        <v>59.72</v>
      </c>
      <c r="O29" s="62">
        <v>0.0</v>
      </c>
      <c r="P29" s="62">
        <v>0.0</v>
      </c>
      <c r="Q29" s="64">
        <v>10.25</v>
      </c>
      <c r="R29" s="4"/>
      <c r="S29" s="97"/>
      <c r="T29" s="97"/>
      <c r="U29" s="1"/>
      <c r="V29" s="1"/>
      <c r="W29" s="1"/>
      <c r="X29" s="1"/>
      <c r="Y29" s="1"/>
      <c r="Z29" s="1"/>
      <c r="AA29" s="1"/>
      <c r="AB29" s="1"/>
    </row>
    <row r="30" ht="16.5" customHeight="1">
      <c r="A30" s="1"/>
      <c r="B30" s="1"/>
      <c r="C30" s="56">
        <v>6713.0</v>
      </c>
      <c r="D30" s="66" t="s">
        <v>57</v>
      </c>
      <c r="E30" s="60">
        <f t="shared" si="4"/>
        <v>4296.96</v>
      </c>
      <c r="F30" s="62">
        <v>10.0</v>
      </c>
      <c r="G30" s="62">
        <v>0.0</v>
      </c>
      <c r="H30" s="62">
        <v>0.0</v>
      </c>
      <c r="I30" s="62">
        <v>0.0</v>
      </c>
      <c r="J30" s="62">
        <v>0.0</v>
      </c>
      <c r="K30" s="62">
        <v>0.0</v>
      </c>
      <c r="L30" s="62">
        <v>100.0</v>
      </c>
      <c r="M30" s="62">
        <v>70.75</v>
      </c>
      <c r="N30" s="62">
        <v>66.61</v>
      </c>
      <c r="O30" s="62">
        <v>97.68</v>
      </c>
      <c r="P30" s="62">
        <v>0.0</v>
      </c>
      <c r="Q30" s="64">
        <v>3951.92</v>
      </c>
      <c r="R30" s="4"/>
      <c r="S30" s="97"/>
      <c r="T30" s="97"/>
      <c r="U30" s="1"/>
      <c r="V30" s="1"/>
      <c r="W30" s="1"/>
      <c r="X30" s="1"/>
      <c r="Y30" s="1"/>
      <c r="Z30" s="1"/>
      <c r="AA30" s="1"/>
      <c r="AB30" s="1"/>
    </row>
    <row r="31" ht="16.5" customHeight="1">
      <c r="A31" s="1"/>
      <c r="B31" s="1"/>
      <c r="C31" s="41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4"/>
      <c r="S31" s="97"/>
      <c r="T31" s="97"/>
      <c r="U31" s="1"/>
      <c r="V31" s="1"/>
      <c r="W31" s="1"/>
      <c r="X31" s="1"/>
      <c r="Y31" s="1"/>
      <c r="Z31" s="1"/>
      <c r="AA31" s="1"/>
      <c r="AB31" s="1"/>
    </row>
    <row r="32" ht="16.5" customHeight="1">
      <c r="A32" s="1"/>
      <c r="B32" s="1"/>
      <c r="C32" s="41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4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ht="18.0" customHeight="1">
      <c r="A33" s="1"/>
      <c r="B33" s="1"/>
      <c r="C33" s="104">
        <v>40.0</v>
      </c>
      <c r="D33" s="105" t="s">
        <v>60</v>
      </c>
      <c r="E33" s="60">
        <f>SUM(F33:Q33)</f>
        <v>1544.29</v>
      </c>
      <c r="F33" s="107">
        <v>0.0</v>
      </c>
      <c r="G33" s="107">
        <v>0.0</v>
      </c>
      <c r="H33" s="107">
        <v>0.0</v>
      </c>
      <c r="I33" s="107">
        <v>0.0</v>
      </c>
      <c r="J33" s="107">
        <v>0.0</v>
      </c>
      <c r="K33" s="107">
        <v>0.0</v>
      </c>
      <c r="L33" s="107">
        <v>0.0</v>
      </c>
      <c r="M33" s="107">
        <v>0.0</v>
      </c>
      <c r="N33" s="107">
        <v>0.0</v>
      </c>
      <c r="O33" s="107">
        <v>0.0</v>
      </c>
      <c r="P33" s="107">
        <v>511.74</v>
      </c>
      <c r="Q33" s="108">
        <v>1032.55</v>
      </c>
      <c r="R33" s="109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ht="18.0" customHeight="1">
      <c r="A34" s="1"/>
      <c r="B34" s="1"/>
      <c r="C34" s="110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2"/>
      <c r="R34" s="113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ht="18.0" customHeight="1">
      <c r="A35" s="1"/>
      <c r="B35" s="1"/>
      <c r="C35" s="114">
        <v>6037.0</v>
      </c>
      <c r="D35" s="115" t="s">
        <v>67</v>
      </c>
      <c r="E35" s="116"/>
      <c r="F35" s="107">
        <v>396.65</v>
      </c>
      <c r="G35" s="107">
        <v>396.65</v>
      </c>
      <c r="H35" s="107">
        <v>681.44</v>
      </c>
      <c r="I35" s="107">
        <v>429.85</v>
      </c>
      <c r="J35" s="107">
        <v>750.96</v>
      </c>
      <c r="K35" s="107">
        <v>1131.99</v>
      </c>
      <c r="L35" s="107">
        <v>1571.02</v>
      </c>
      <c r="M35" s="107">
        <v>1743.24</v>
      </c>
      <c r="N35" s="107">
        <v>1900.0</v>
      </c>
      <c r="O35" s="107">
        <v>2653.0</v>
      </c>
      <c r="P35" s="107">
        <v>1524.47</v>
      </c>
      <c r="Q35" s="108">
        <v>3039.28</v>
      </c>
      <c r="R35" s="117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ht="18.0" customHeight="1">
      <c r="A36" s="1"/>
      <c r="B36" s="1"/>
      <c r="C36" s="119"/>
      <c r="D36" s="115" t="s">
        <v>71</v>
      </c>
      <c r="E36" s="60">
        <f t="shared" ref="E36:E37" si="5">SUM(F36:Q36)</f>
        <v>5402.87</v>
      </c>
      <c r="F36" s="107">
        <v>0.0</v>
      </c>
      <c r="G36" s="107">
        <v>0.0</v>
      </c>
      <c r="H36" s="107">
        <v>284.79</v>
      </c>
      <c r="I36" s="107">
        <v>251.59</v>
      </c>
      <c r="J36" s="107">
        <v>321.11</v>
      </c>
      <c r="K36" s="107">
        <v>381.03</v>
      </c>
      <c r="L36" s="107">
        <v>439.03</v>
      </c>
      <c r="M36" s="107">
        <v>172.22</v>
      </c>
      <c r="N36" s="107">
        <v>156.76</v>
      </c>
      <c r="O36" s="107">
        <v>753.0</v>
      </c>
      <c r="P36" s="107">
        <v>1128.53</v>
      </c>
      <c r="Q36" s="108">
        <v>1514.81</v>
      </c>
      <c r="R36" s="109"/>
      <c r="S36" s="97"/>
      <c r="T36" s="1"/>
      <c r="U36" s="1"/>
      <c r="V36" s="1"/>
      <c r="W36" s="1"/>
      <c r="X36" s="1"/>
      <c r="Y36" s="1"/>
      <c r="Z36" s="1"/>
      <c r="AA36" s="1"/>
      <c r="AB36" s="1"/>
    </row>
    <row r="37" ht="18.0" customHeight="1">
      <c r="A37" s="1"/>
      <c r="B37" s="1"/>
      <c r="C37" s="119"/>
      <c r="D37" s="115" t="s">
        <v>73</v>
      </c>
      <c r="E37" s="60">
        <f t="shared" si="5"/>
        <v>10162.73</v>
      </c>
      <c r="F37" s="107">
        <v>556.31</v>
      </c>
      <c r="G37" s="107">
        <v>118.87</v>
      </c>
      <c r="H37" s="107">
        <v>722.35</v>
      </c>
      <c r="I37" s="107">
        <v>454.91</v>
      </c>
      <c r="J37" s="107">
        <v>757.63</v>
      </c>
      <c r="K37" s="107">
        <v>1359.12</v>
      </c>
      <c r="L37" s="107">
        <v>702.56</v>
      </c>
      <c r="M37" s="107">
        <v>862.2</v>
      </c>
      <c r="N37" s="107">
        <v>1051.59</v>
      </c>
      <c r="O37" s="107">
        <v>743.16</v>
      </c>
      <c r="P37" s="107">
        <v>318.5</v>
      </c>
      <c r="Q37" s="108">
        <v>2515.53</v>
      </c>
      <c r="R37" s="109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ht="18.0" customHeight="1">
      <c r="A38" s="1"/>
      <c r="B38" s="1"/>
      <c r="C38" s="122"/>
      <c r="D38" s="115" t="s">
        <v>74</v>
      </c>
      <c r="E38" s="123">
        <f>E37/(E5+E36)</f>
        <v>0.1642221219</v>
      </c>
      <c r="F38" s="124">
        <v>0.21</v>
      </c>
      <c r="G38" s="124">
        <v>-0.05</v>
      </c>
      <c r="H38" s="124">
        <v>0.21</v>
      </c>
      <c r="I38" s="124">
        <v>-0.15</v>
      </c>
      <c r="J38" s="124">
        <v>0.19</v>
      </c>
      <c r="K38" s="124">
        <v>0.28</v>
      </c>
      <c r="L38" s="124">
        <v>0.27</v>
      </c>
      <c r="M38" s="124">
        <v>0.28</v>
      </c>
      <c r="N38" s="124">
        <v>0.18</v>
      </c>
      <c r="O38" s="124">
        <v>0.11</v>
      </c>
      <c r="P38" s="124">
        <v>0.04</v>
      </c>
      <c r="Q38" s="125">
        <v>0.19</v>
      </c>
      <c r="R38" s="117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ht="18.0" customHeight="1">
      <c r="A39" s="1"/>
      <c r="B39" s="1"/>
      <c r="C39" s="41"/>
      <c r="D39" s="126"/>
      <c r="E39" s="127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4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ht="13.5" customHeight="1">
      <c r="A40" s="48" t="s">
        <v>29</v>
      </c>
      <c r="B40" s="128">
        <f>+SUM(D40:U40)</f>
        <v>11125.26</v>
      </c>
      <c r="C40" s="41"/>
      <c r="D40" s="129" t="s">
        <v>81</v>
      </c>
      <c r="E40" s="130">
        <f t="shared" ref="E40:Q40" si="6">+SUM(E4-E10)</f>
        <v>9266.95</v>
      </c>
      <c r="F40" s="130">
        <f t="shared" si="6"/>
        <v>742.19</v>
      </c>
      <c r="G40" s="130">
        <f t="shared" si="6"/>
        <v>805.19</v>
      </c>
      <c r="H40" s="130">
        <f t="shared" si="6"/>
        <v>1235.26</v>
      </c>
      <c r="I40" s="130">
        <f t="shared" si="6"/>
        <v>513.32</v>
      </c>
      <c r="J40" s="130">
        <f t="shared" si="6"/>
        <v>463.05</v>
      </c>
      <c r="K40" s="130">
        <f t="shared" si="6"/>
        <v>-19.6</v>
      </c>
      <c r="L40" s="130">
        <f t="shared" si="6"/>
        <v>-462.06</v>
      </c>
      <c r="M40" s="130">
        <f t="shared" si="6"/>
        <v>-1349.32</v>
      </c>
      <c r="N40" s="130">
        <f t="shared" si="6"/>
        <v>4049.67</v>
      </c>
      <c r="O40" s="130">
        <f t="shared" si="6"/>
        <v>2459.32</v>
      </c>
      <c r="P40" s="130">
        <f t="shared" si="6"/>
        <v>2104.36</v>
      </c>
      <c r="Q40" s="132">
        <f t="shared" si="6"/>
        <v>-8683.07</v>
      </c>
      <c r="R40" s="4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ht="13.5" customHeight="1">
      <c r="A41" s="97"/>
      <c r="B41" s="97"/>
      <c r="C41" s="41"/>
      <c r="D41" s="134" t="s">
        <v>82</v>
      </c>
      <c r="E41" s="130">
        <v>2200.0</v>
      </c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4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ht="16.5" customHeight="1">
      <c r="A42" s="1"/>
      <c r="B42" s="1"/>
      <c r="C42" s="41"/>
      <c r="D42" s="137" t="s">
        <v>85</v>
      </c>
      <c r="E42" s="138">
        <v>3727.0</v>
      </c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4"/>
      <c r="S42" s="97"/>
      <c r="T42" s="97"/>
      <c r="U42" s="1"/>
      <c r="V42" s="1"/>
      <c r="W42" s="1"/>
      <c r="X42" s="1"/>
      <c r="Y42" s="1"/>
      <c r="Z42" s="1"/>
      <c r="AA42" s="1"/>
      <c r="AB42" s="1"/>
    </row>
    <row r="43" ht="18.0" customHeight="1">
      <c r="A43" s="1"/>
      <c r="B43" s="1"/>
      <c r="C43" s="41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4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ht="18.0" customHeight="1">
      <c r="A44" s="1"/>
      <c r="B44" s="1"/>
      <c r="C44" s="41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4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ht="18.0" customHeight="1">
      <c r="A45" s="1"/>
      <c r="B45" s="1"/>
      <c r="C45" s="41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4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ht="41.25" customHeight="1">
      <c r="A46" s="4"/>
      <c r="B46" s="4"/>
      <c r="C46" s="41"/>
      <c r="D46" s="24" t="s">
        <v>86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4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ht="13.5" customHeight="1">
      <c r="A47" s="97"/>
      <c r="B47" s="97"/>
      <c r="C47" s="41"/>
      <c r="D47" s="139"/>
      <c r="E47" s="140" t="s">
        <v>14</v>
      </c>
      <c r="F47" s="141">
        <v>42736.0</v>
      </c>
      <c r="G47" s="141">
        <v>42767.0</v>
      </c>
      <c r="H47" s="141">
        <v>42795.0</v>
      </c>
      <c r="I47" s="141">
        <v>42826.0</v>
      </c>
      <c r="J47" s="141">
        <v>42856.0</v>
      </c>
      <c r="K47" s="141">
        <v>42887.0</v>
      </c>
      <c r="L47" s="141">
        <v>42917.0</v>
      </c>
      <c r="M47" s="141">
        <v>42948.0</v>
      </c>
      <c r="N47" s="141">
        <v>42979.0</v>
      </c>
      <c r="O47" s="141">
        <v>43009.0</v>
      </c>
      <c r="P47" s="141">
        <v>43040.0</v>
      </c>
      <c r="Q47" s="142">
        <v>43070.0</v>
      </c>
      <c r="R47" s="4"/>
      <c r="S47" s="97"/>
      <c r="T47" s="97"/>
      <c r="U47" s="1"/>
      <c r="V47" s="1"/>
      <c r="W47" s="1"/>
      <c r="X47" s="1"/>
      <c r="Y47" s="1"/>
      <c r="Z47" s="1"/>
      <c r="AA47" s="1"/>
      <c r="AB47" s="1"/>
    </row>
    <row r="48" ht="13.5" customHeight="1">
      <c r="A48" s="97"/>
      <c r="B48" s="97"/>
      <c r="C48" s="41"/>
      <c r="D48" s="48" t="s">
        <v>22</v>
      </c>
      <c r="E48" s="143">
        <f>+SUM(E49:E52)</f>
        <v>193268.95</v>
      </c>
      <c r="F48" s="80">
        <f t="shared" ref="F48:Q48" si="7">SUM(F49:F52)</f>
        <v>35478.09</v>
      </c>
      <c r="G48" s="80">
        <f t="shared" si="7"/>
        <v>22892.02</v>
      </c>
      <c r="H48" s="80">
        <f t="shared" si="7"/>
        <v>27807.12</v>
      </c>
      <c r="I48" s="80">
        <f t="shared" si="7"/>
        <v>29712.28</v>
      </c>
      <c r="J48" s="80">
        <f t="shared" si="7"/>
        <v>28308.78</v>
      </c>
      <c r="K48" s="80">
        <f t="shared" si="7"/>
        <v>28129.48</v>
      </c>
      <c r="L48" s="80">
        <f t="shared" si="7"/>
        <v>3308.78</v>
      </c>
      <c r="M48" s="80">
        <f t="shared" si="7"/>
        <v>3308.78</v>
      </c>
      <c r="N48" s="80">
        <f t="shared" si="7"/>
        <v>3308.78</v>
      </c>
      <c r="O48" s="80">
        <f t="shared" si="7"/>
        <v>4397.28</v>
      </c>
      <c r="P48" s="80">
        <f t="shared" si="7"/>
        <v>3308.78</v>
      </c>
      <c r="Q48" s="83">
        <f t="shared" si="7"/>
        <v>3308.78</v>
      </c>
      <c r="R48" s="4"/>
      <c r="S48" s="97"/>
      <c r="T48" s="97"/>
      <c r="U48" s="1"/>
      <c r="V48" s="1"/>
      <c r="W48" s="1"/>
      <c r="X48" s="1"/>
      <c r="Y48" s="1"/>
      <c r="Z48" s="1"/>
      <c r="AA48" s="1"/>
      <c r="AB48" s="1"/>
    </row>
    <row r="49" ht="13.5" customHeight="1">
      <c r="A49" s="97"/>
      <c r="B49" s="97"/>
      <c r="C49" s="56">
        <v>707.0</v>
      </c>
      <c r="D49" s="58" t="s">
        <v>23</v>
      </c>
      <c r="E49" s="60">
        <f t="shared" ref="E49:E52" si="8">+SUM(F49:W49)</f>
        <v>127157.51</v>
      </c>
      <c r="F49" s="62">
        <v>9467.85</v>
      </c>
      <c r="G49" s="144">
        <v>19039.78</v>
      </c>
      <c r="H49" s="144">
        <v>23649.88</v>
      </c>
      <c r="I49" s="144">
        <v>25000.0</v>
      </c>
      <c r="J49" s="144">
        <v>25000.0</v>
      </c>
      <c r="K49" s="144">
        <v>25000.0</v>
      </c>
      <c r="L49" s="144">
        <v>0.0</v>
      </c>
      <c r="M49" s="144">
        <v>0.0</v>
      </c>
      <c r="N49" s="144">
        <v>0.0</v>
      </c>
      <c r="O49" s="144">
        <v>0.0</v>
      </c>
      <c r="P49" s="144">
        <v>0.0</v>
      </c>
      <c r="Q49" s="145">
        <v>0.0</v>
      </c>
      <c r="R49" s="4"/>
      <c r="S49" s="97"/>
      <c r="T49" s="97"/>
      <c r="U49" s="1"/>
      <c r="V49" s="1"/>
      <c r="W49" s="1"/>
      <c r="X49" s="1"/>
      <c r="Y49" s="1"/>
      <c r="Z49" s="1"/>
      <c r="AA49" s="1"/>
      <c r="AB49" s="1"/>
    </row>
    <row r="50" ht="13.5" customHeight="1">
      <c r="A50" s="97"/>
      <c r="B50" s="97"/>
      <c r="C50" s="56">
        <v>756.0</v>
      </c>
      <c r="D50" s="66" t="s">
        <v>25</v>
      </c>
      <c r="E50" s="60">
        <f t="shared" si="8"/>
        <v>14321.4</v>
      </c>
      <c r="F50" s="62">
        <v>1565.0</v>
      </c>
      <c r="G50" s="144">
        <v>2440.0</v>
      </c>
      <c r="H50" s="144">
        <v>2790.0</v>
      </c>
      <c r="I50" s="144">
        <f>30*19.31+(F6+G6+H6)*0.7</f>
        <v>1982.8</v>
      </c>
      <c r="J50" s="144">
        <f>30*19.31</f>
        <v>579.3</v>
      </c>
      <c r="K50" s="144">
        <v>400.0</v>
      </c>
      <c r="L50" s="144">
        <f t="shared" ref="L50:N50" si="9">30*19.31</f>
        <v>579.3</v>
      </c>
      <c r="M50" s="144">
        <f t="shared" si="9"/>
        <v>579.3</v>
      </c>
      <c r="N50" s="144">
        <f t="shared" si="9"/>
        <v>579.3</v>
      </c>
      <c r="O50" s="144">
        <f>30*19.31+(L6+M6+N6)*0.7</f>
        <v>1667.8</v>
      </c>
      <c r="P50" s="144">
        <f t="shared" ref="P50:Q50" si="10">30*19.31</f>
        <v>579.3</v>
      </c>
      <c r="Q50" s="145">
        <f t="shared" si="10"/>
        <v>579.3</v>
      </c>
      <c r="R50" s="4"/>
      <c r="S50" s="97"/>
      <c r="T50" s="97"/>
      <c r="U50" s="1"/>
      <c r="V50" s="1"/>
      <c r="W50" s="1"/>
      <c r="X50" s="1"/>
      <c r="Y50" s="1"/>
      <c r="Z50" s="1"/>
      <c r="AA50" s="1"/>
      <c r="AB50" s="1"/>
    </row>
    <row r="51" ht="13.5" customHeight="1">
      <c r="A51" s="97"/>
      <c r="B51" s="97"/>
      <c r="C51" s="56">
        <v>7561.0</v>
      </c>
      <c r="D51" s="66" t="s">
        <v>26</v>
      </c>
      <c r="E51" s="60">
        <f t="shared" si="8"/>
        <v>23813</v>
      </c>
      <c r="F51" s="62">
        <v>23113.0</v>
      </c>
      <c r="G51" s="146">
        <v>80.0</v>
      </c>
      <c r="H51" s="146">
        <v>35.0</v>
      </c>
      <c r="I51" s="146">
        <v>65.0</v>
      </c>
      <c r="J51" s="146">
        <v>65.0</v>
      </c>
      <c r="K51" s="146">
        <v>65.0</v>
      </c>
      <c r="L51" s="146">
        <v>65.0</v>
      </c>
      <c r="M51" s="146">
        <v>65.0</v>
      </c>
      <c r="N51" s="146">
        <v>65.0</v>
      </c>
      <c r="O51" s="146">
        <v>65.0</v>
      </c>
      <c r="P51" s="146">
        <v>65.0</v>
      </c>
      <c r="Q51" s="147">
        <v>65.0</v>
      </c>
      <c r="R51" s="4"/>
      <c r="S51" s="97"/>
      <c r="T51" s="97"/>
      <c r="U51" s="1"/>
      <c r="V51" s="1"/>
      <c r="W51" s="1"/>
      <c r="X51" s="1"/>
      <c r="Y51" s="1"/>
      <c r="Z51" s="1"/>
      <c r="AA51" s="1"/>
      <c r="AB51" s="1"/>
    </row>
    <row r="52" ht="13.5" customHeight="1">
      <c r="A52" s="97"/>
      <c r="B52" s="97"/>
      <c r="C52" s="56">
        <v>74.0</v>
      </c>
      <c r="D52" s="69" t="s">
        <v>28</v>
      </c>
      <c r="E52" s="70">
        <f t="shared" si="8"/>
        <v>27977.04</v>
      </c>
      <c r="F52" s="62">
        <v>1332.24</v>
      </c>
      <c r="G52" s="146">
        <v>1332.24</v>
      </c>
      <c r="H52" s="146">
        <v>1332.24</v>
      </c>
      <c r="I52" s="146">
        <f t="shared" ref="I52:Q52" si="11">1332.24*2</f>
        <v>2664.48</v>
      </c>
      <c r="J52" s="146">
        <f t="shared" si="11"/>
        <v>2664.48</v>
      </c>
      <c r="K52" s="146">
        <f t="shared" si="11"/>
        <v>2664.48</v>
      </c>
      <c r="L52" s="146">
        <f t="shared" si="11"/>
        <v>2664.48</v>
      </c>
      <c r="M52" s="146">
        <f t="shared" si="11"/>
        <v>2664.48</v>
      </c>
      <c r="N52" s="146">
        <f t="shared" si="11"/>
        <v>2664.48</v>
      </c>
      <c r="O52" s="146">
        <f t="shared" si="11"/>
        <v>2664.48</v>
      </c>
      <c r="P52" s="146">
        <f t="shared" si="11"/>
        <v>2664.48</v>
      </c>
      <c r="Q52" s="147">
        <f t="shared" si="11"/>
        <v>2664.48</v>
      </c>
      <c r="R52" s="4"/>
      <c r="S52" s="97"/>
      <c r="T52" s="97"/>
      <c r="U52" s="1"/>
      <c r="V52" s="1"/>
      <c r="W52" s="1"/>
      <c r="X52" s="1"/>
      <c r="Y52" s="1"/>
      <c r="Z52" s="1"/>
      <c r="AA52" s="1"/>
      <c r="AB52" s="1"/>
    </row>
    <row r="53" ht="13.5" customHeight="1">
      <c r="A53" s="97"/>
      <c r="B53" s="97"/>
      <c r="C53" s="41"/>
      <c r="D53" s="148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4"/>
      <c r="S53" s="97"/>
      <c r="T53" s="97"/>
      <c r="U53" s="1"/>
      <c r="V53" s="1"/>
      <c r="W53" s="1"/>
      <c r="X53" s="1"/>
      <c r="Y53" s="1"/>
      <c r="Z53" s="1"/>
      <c r="AA53" s="1"/>
      <c r="AB53" s="1"/>
    </row>
    <row r="54" ht="13.5" customHeight="1">
      <c r="A54" s="97"/>
      <c r="B54" s="97"/>
      <c r="C54" s="41"/>
      <c r="D54" s="137" t="s">
        <v>29</v>
      </c>
      <c r="E54" s="88">
        <f>SUM(E55:E74)</f>
        <v>168873.05</v>
      </c>
      <c r="F54" s="88">
        <f t="shared" ref="F54:Q54" si="12">+SUM(F55:F75)</f>
        <v>19586.82771</v>
      </c>
      <c r="G54" s="88">
        <f t="shared" si="12"/>
        <v>19872.10771</v>
      </c>
      <c r="H54" s="88">
        <f t="shared" si="12"/>
        <v>23170.91771</v>
      </c>
      <c r="I54" s="88">
        <f t="shared" si="12"/>
        <v>32561.42771</v>
      </c>
      <c r="J54" s="88">
        <f t="shared" si="12"/>
        <v>25878.42771</v>
      </c>
      <c r="K54" s="88">
        <f t="shared" si="12"/>
        <v>24511.42771</v>
      </c>
      <c r="L54" s="88">
        <f t="shared" si="12"/>
        <v>5706.427708</v>
      </c>
      <c r="M54" s="88">
        <f t="shared" si="12"/>
        <v>5693.427708</v>
      </c>
      <c r="N54" s="88">
        <f t="shared" si="12"/>
        <v>3690.427708</v>
      </c>
      <c r="O54" s="88">
        <f t="shared" si="12"/>
        <v>6211.427708</v>
      </c>
      <c r="P54" s="88">
        <f t="shared" si="12"/>
        <v>5390.427708</v>
      </c>
      <c r="Q54" s="88">
        <f t="shared" si="12"/>
        <v>5043.427708</v>
      </c>
      <c r="R54" s="4"/>
      <c r="S54" s="97"/>
      <c r="T54" s="97"/>
      <c r="U54" s="1"/>
      <c r="V54" s="1"/>
      <c r="W54" s="1"/>
      <c r="X54" s="1"/>
      <c r="Y54" s="1"/>
      <c r="Z54" s="1"/>
      <c r="AA54" s="1"/>
      <c r="AB54" s="1"/>
    </row>
    <row r="55" ht="13.5" customHeight="1">
      <c r="A55" s="97"/>
      <c r="B55" s="97"/>
      <c r="C55" s="56">
        <v>213.0</v>
      </c>
      <c r="D55" s="86" t="s">
        <v>36</v>
      </c>
      <c r="E55" s="88">
        <f t="shared" ref="E55:E74" si="13">+SUM(F55:W55)</f>
        <v>663.1</v>
      </c>
      <c r="F55" s="146">
        <v>663.0999999999999</v>
      </c>
      <c r="G55" s="146">
        <v>0.0</v>
      </c>
      <c r="H55" s="146">
        <v>0.0</v>
      </c>
      <c r="I55" s="146"/>
      <c r="J55" s="146"/>
      <c r="K55" s="146"/>
      <c r="L55" s="146"/>
      <c r="M55" s="146"/>
      <c r="N55" s="146"/>
      <c r="O55" s="146"/>
      <c r="P55" s="146"/>
      <c r="Q55" s="147"/>
      <c r="R55" s="149" t="s">
        <v>96</v>
      </c>
      <c r="S55" s="97"/>
      <c r="T55" s="97"/>
      <c r="U55" s="1"/>
      <c r="V55" s="1"/>
      <c r="W55" s="1"/>
      <c r="X55" s="1"/>
      <c r="Y55" s="1"/>
      <c r="Z55" s="1"/>
      <c r="AA55" s="1"/>
      <c r="AB55" s="1"/>
    </row>
    <row r="56" ht="13.5" customHeight="1">
      <c r="A56" s="97"/>
      <c r="B56" s="97"/>
      <c r="C56" s="56">
        <v>2184.0</v>
      </c>
      <c r="D56" s="86" t="s">
        <v>37</v>
      </c>
      <c r="E56" s="88">
        <f t="shared" si="13"/>
        <v>995.35</v>
      </c>
      <c r="F56" s="146">
        <v>995.35</v>
      </c>
      <c r="G56" s="146">
        <v>0.0</v>
      </c>
      <c r="H56" s="146">
        <v>0.0</v>
      </c>
      <c r="I56" s="146"/>
      <c r="J56" s="146"/>
      <c r="K56" s="146"/>
      <c r="L56" s="146"/>
      <c r="M56" s="146"/>
      <c r="N56" s="146"/>
      <c r="O56" s="146"/>
      <c r="P56" s="146"/>
      <c r="Q56" s="147"/>
      <c r="R56" s="149" t="s">
        <v>97</v>
      </c>
      <c r="S56" s="97"/>
      <c r="T56" s="97"/>
      <c r="U56" s="1"/>
      <c r="V56" s="1"/>
      <c r="W56" s="1"/>
      <c r="X56" s="1"/>
      <c r="Y56" s="1"/>
      <c r="Z56" s="1"/>
      <c r="AA56" s="1"/>
      <c r="AB56" s="1"/>
    </row>
    <row r="57" ht="13.5" customHeight="1">
      <c r="A57" s="97"/>
      <c r="B57" s="97"/>
      <c r="C57" s="56">
        <v>2755.0</v>
      </c>
      <c r="D57" s="86" t="s">
        <v>38</v>
      </c>
      <c r="E57" s="88">
        <f t="shared" si="13"/>
        <v>0</v>
      </c>
      <c r="F57" s="62">
        <v>0.0</v>
      </c>
      <c r="G57" s="146">
        <v>0.0</v>
      </c>
      <c r="H57" s="146">
        <v>0.0</v>
      </c>
      <c r="I57" s="146"/>
      <c r="J57" s="146"/>
      <c r="K57" s="146"/>
      <c r="L57" s="146"/>
      <c r="M57" s="146"/>
      <c r="N57" s="146"/>
      <c r="O57" s="146"/>
      <c r="P57" s="146"/>
      <c r="Q57" s="147"/>
      <c r="R57" s="149"/>
      <c r="S57" s="97"/>
      <c r="T57" s="97"/>
      <c r="U57" s="1"/>
      <c r="V57" s="1"/>
      <c r="W57" s="1"/>
      <c r="X57" s="1"/>
      <c r="Y57" s="1"/>
      <c r="Z57" s="1"/>
      <c r="AA57" s="1"/>
      <c r="AB57" s="1"/>
    </row>
    <row r="58" ht="13.5" customHeight="1">
      <c r="A58" s="97"/>
      <c r="B58" s="97"/>
      <c r="C58" s="56">
        <v>447.0</v>
      </c>
      <c r="D58" s="86" t="s">
        <v>39</v>
      </c>
      <c r="E58" s="88">
        <f t="shared" si="13"/>
        <v>5285</v>
      </c>
      <c r="F58" s="62">
        <v>0.0</v>
      </c>
      <c r="G58" s="146">
        <v>0.0</v>
      </c>
      <c r="H58" s="146">
        <v>0.0</v>
      </c>
      <c r="I58" s="146">
        <v>5285.0</v>
      </c>
      <c r="J58" s="146"/>
      <c r="K58" s="146"/>
      <c r="L58" s="146"/>
      <c r="M58" s="146"/>
      <c r="N58" s="146"/>
      <c r="O58" s="146"/>
      <c r="P58" s="146"/>
      <c r="Q58" s="147"/>
      <c r="R58" s="149" t="s">
        <v>98</v>
      </c>
      <c r="S58" s="97"/>
      <c r="T58" s="97"/>
      <c r="U58" s="1"/>
      <c r="V58" s="1"/>
      <c r="W58" s="1"/>
      <c r="X58" s="1"/>
      <c r="Y58" s="1"/>
      <c r="Z58" s="1"/>
      <c r="AA58" s="1"/>
      <c r="AB58" s="1"/>
    </row>
    <row r="59" ht="13.5" customHeight="1">
      <c r="A59" s="97"/>
      <c r="B59" s="97"/>
      <c r="C59" s="56">
        <v>604.0</v>
      </c>
      <c r="D59" s="66" t="s">
        <v>99</v>
      </c>
      <c r="E59" s="60">
        <f t="shared" si="13"/>
        <v>2005.32</v>
      </c>
      <c r="F59" s="62">
        <v>1555.32</v>
      </c>
      <c r="G59" s="144">
        <v>0.0</v>
      </c>
      <c r="H59" s="144">
        <v>0.0</v>
      </c>
      <c r="I59" s="144">
        <f t="shared" ref="I59:Q59" si="14">50</f>
        <v>50</v>
      </c>
      <c r="J59" s="144">
        <f t="shared" si="14"/>
        <v>50</v>
      </c>
      <c r="K59" s="144">
        <f t="shared" si="14"/>
        <v>50</v>
      </c>
      <c r="L59" s="144">
        <f t="shared" si="14"/>
        <v>50</v>
      </c>
      <c r="M59" s="144">
        <f t="shared" si="14"/>
        <v>50</v>
      </c>
      <c r="N59" s="144">
        <f t="shared" si="14"/>
        <v>50</v>
      </c>
      <c r="O59" s="144">
        <f t="shared" si="14"/>
        <v>50</v>
      </c>
      <c r="P59" s="144">
        <f t="shared" si="14"/>
        <v>50</v>
      </c>
      <c r="Q59" s="145">
        <f t="shared" si="14"/>
        <v>50</v>
      </c>
      <c r="R59" s="4"/>
      <c r="S59" s="97"/>
      <c r="T59" s="97"/>
      <c r="U59" s="1"/>
      <c r="V59" s="1"/>
      <c r="W59" s="1"/>
      <c r="X59" s="1"/>
      <c r="Y59" s="1"/>
      <c r="Z59" s="1"/>
      <c r="AA59" s="1"/>
      <c r="AB59" s="1"/>
    </row>
    <row r="60" ht="13.5" customHeight="1">
      <c r="A60" s="97"/>
      <c r="B60" s="97"/>
      <c r="C60" s="56">
        <v>60612.0</v>
      </c>
      <c r="D60" s="66" t="s">
        <v>42</v>
      </c>
      <c r="E60" s="60">
        <f t="shared" si="13"/>
        <v>1832.31</v>
      </c>
      <c r="F60" s="62">
        <v>0.0</v>
      </c>
      <c r="G60" s="144">
        <v>167.31</v>
      </c>
      <c r="H60" s="144">
        <v>0.0</v>
      </c>
      <c r="I60" s="144">
        <v>333.0</v>
      </c>
      <c r="J60" s="144"/>
      <c r="K60" s="144">
        <v>333.0</v>
      </c>
      <c r="L60" s="144"/>
      <c r="M60" s="144">
        <v>333.0</v>
      </c>
      <c r="N60" s="144"/>
      <c r="O60" s="144">
        <v>333.0</v>
      </c>
      <c r="P60" s="144"/>
      <c r="Q60" s="145">
        <v>333.0</v>
      </c>
      <c r="R60" s="155" t="s">
        <v>100</v>
      </c>
      <c r="S60" s="97"/>
      <c r="T60" s="97"/>
      <c r="U60" s="1"/>
      <c r="V60" s="1"/>
      <c r="W60" s="1"/>
      <c r="X60" s="1"/>
      <c r="Y60" s="1"/>
      <c r="Z60" s="1"/>
      <c r="AA60" s="1"/>
      <c r="AB60" s="1"/>
    </row>
    <row r="61" ht="13.5" customHeight="1">
      <c r="A61" s="97"/>
      <c r="B61" s="97"/>
      <c r="C61" s="56">
        <v>60611.0</v>
      </c>
      <c r="D61" s="66" t="s">
        <v>44</v>
      </c>
      <c r="E61" s="60">
        <f t="shared" si="13"/>
        <v>423.1</v>
      </c>
      <c r="F61" s="62">
        <v>54.91</v>
      </c>
      <c r="G61" s="144">
        <v>0.0</v>
      </c>
      <c r="H61" s="144">
        <v>108.19</v>
      </c>
      <c r="I61" s="144">
        <v>130.0</v>
      </c>
      <c r="J61" s="144"/>
      <c r="K61" s="144"/>
      <c r="L61" s="144"/>
      <c r="M61" s="144"/>
      <c r="N61" s="144"/>
      <c r="O61" s="144">
        <v>130.0</v>
      </c>
      <c r="P61" s="144"/>
      <c r="Q61" s="145"/>
      <c r="R61" s="4"/>
      <c r="S61" s="97"/>
      <c r="T61" s="97"/>
      <c r="U61" s="1"/>
      <c r="V61" s="1"/>
      <c r="W61" s="1"/>
      <c r="X61" s="1"/>
      <c r="Y61" s="1"/>
      <c r="Z61" s="1"/>
      <c r="AA61" s="1"/>
      <c r="AB61" s="1"/>
    </row>
    <row r="62" ht="13.5" customHeight="1">
      <c r="A62" s="97"/>
      <c r="B62" s="97"/>
      <c r="C62" s="56">
        <v>6064.0</v>
      </c>
      <c r="D62" s="66" t="s">
        <v>45</v>
      </c>
      <c r="E62" s="60">
        <f t="shared" si="13"/>
        <v>669.66</v>
      </c>
      <c r="F62" s="62">
        <v>150.26</v>
      </c>
      <c r="G62" s="144">
        <v>69.4</v>
      </c>
      <c r="H62" s="144">
        <v>0.0</v>
      </c>
      <c r="I62" s="144">
        <v>50.0</v>
      </c>
      <c r="J62" s="144">
        <v>50.0</v>
      </c>
      <c r="K62" s="144">
        <v>50.0</v>
      </c>
      <c r="L62" s="144">
        <v>50.0</v>
      </c>
      <c r="M62" s="144">
        <v>50.0</v>
      </c>
      <c r="N62" s="144">
        <v>50.0</v>
      </c>
      <c r="O62" s="144">
        <v>50.0</v>
      </c>
      <c r="P62" s="144">
        <v>50.0</v>
      </c>
      <c r="Q62" s="145">
        <v>50.0</v>
      </c>
      <c r="R62" s="4"/>
      <c r="S62" s="97"/>
      <c r="T62" s="97"/>
      <c r="U62" s="1"/>
      <c r="V62" s="1"/>
      <c r="W62" s="1"/>
      <c r="X62" s="1"/>
      <c r="Y62" s="1"/>
      <c r="Z62" s="1"/>
      <c r="AA62" s="1"/>
      <c r="AB62" s="1"/>
    </row>
    <row r="63" ht="13.5" customHeight="1">
      <c r="A63" s="97"/>
      <c r="B63" s="97"/>
      <c r="C63" s="56">
        <v>607.0</v>
      </c>
      <c r="D63" s="58" t="s">
        <v>46</v>
      </c>
      <c r="E63" s="60">
        <f t="shared" si="13"/>
        <v>110116.58</v>
      </c>
      <c r="F63" s="156">
        <v>12019.289999999999</v>
      </c>
      <c r="G63" s="144">
        <v>15489.109999999999</v>
      </c>
      <c r="H63" s="144">
        <v>21108.18</v>
      </c>
      <c r="I63" s="144">
        <f t="shared" ref="I63:Q63" si="15">+I49*0.82</f>
        <v>20500</v>
      </c>
      <c r="J63" s="144">
        <f t="shared" si="15"/>
        <v>20500</v>
      </c>
      <c r="K63" s="144">
        <f t="shared" si="15"/>
        <v>20500</v>
      </c>
      <c r="L63" s="144">
        <f t="shared" si="15"/>
        <v>0</v>
      </c>
      <c r="M63" s="144">
        <f t="shared" si="15"/>
        <v>0</v>
      </c>
      <c r="N63" s="144">
        <f t="shared" si="15"/>
        <v>0</v>
      </c>
      <c r="O63" s="144">
        <f t="shared" si="15"/>
        <v>0</v>
      </c>
      <c r="P63" s="144">
        <f t="shared" si="15"/>
        <v>0</v>
      </c>
      <c r="Q63" s="145">
        <f t="shared" si="15"/>
        <v>0</v>
      </c>
      <c r="R63" s="4"/>
      <c r="S63" s="97"/>
      <c r="T63" s="97"/>
      <c r="U63" s="1"/>
      <c r="V63" s="1"/>
      <c r="W63" s="1"/>
      <c r="X63" s="1"/>
      <c r="Y63" s="1"/>
      <c r="Z63" s="1"/>
      <c r="AA63" s="1"/>
      <c r="AB63" s="1"/>
    </row>
    <row r="64" ht="13.5" customHeight="1">
      <c r="A64" s="97"/>
      <c r="B64" s="97"/>
      <c r="C64" s="56">
        <v>6132.0</v>
      </c>
      <c r="D64" s="66" t="s">
        <v>105</v>
      </c>
      <c r="E64" s="60">
        <f t="shared" si="13"/>
        <v>9780</v>
      </c>
      <c r="F64" s="62">
        <v>0.0</v>
      </c>
      <c r="G64" s="144">
        <v>1950.0</v>
      </c>
      <c r="H64" s="144">
        <v>0.0</v>
      </c>
      <c r="I64" s="144">
        <v>30.0</v>
      </c>
      <c r="J64" s="144">
        <f>1950+30</f>
        <v>1980</v>
      </c>
      <c r="K64" s="144">
        <f>30+250</f>
        <v>280</v>
      </c>
      <c r="L64" s="144">
        <v>0.0</v>
      </c>
      <c r="M64" s="144">
        <v>1950.0</v>
      </c>
      <c r="N64" s="144">
        <f>30+250</f>
        <v>280</v>
      </c>
      <c r="O64" s="144">
        <v>30.0</v>
      </c>
      <c r="P64" s="144">
        <f>30+1950</f>
        <v>1980</v>
      </c>
      <c r="Q64" s="145">
        <v>1300.0</v>
      </c>
      <c r="R64" s="157" t="s">
        <v>107</v>
      </c>
      <c r="S64" s="97"/>
      <c r="T64" s="97"/>
      <c r="U64" s="1"/>
      <c r="V64" s="1"/>
      <c r="W64" s="1"/>
      <c r="X64" s="1"/>
      <c r="Y64" s="1"/>
      <c r="Z64" s="1"/>
      <c r="AA64" s="1"/>
      <c r="AB64" s="1"/>
    </row>
    <row r="65" ht="13.5" customHeight="1">
      <c r="A65" s="97"/>
      <c r="B65" s="97"/>
      <c r="C65" s="56">
        <v>6152.0</v>
      </c>
      <c r="D65" s="66" t="s">
        <v>48</v>
      </c>
      <c r="E65" s="60">
        <f t="shared" si="13"/>
        <v>1199.18</v>
      </c>
      <c r="F65" s="62">
        <v>35.27</v>
      </c>
      <c r="G65" s="144">
        <v>436.61</v>
      </c>
      <c r="H65" s="144">
        <v>7.3</v>
      </c>
      <c r="I65" s="144">
        <v>80.0</v>
      </c>
      <c r="J65" s="144">
        <v>80.0</v>
      </c>
      <c r="K65" s="144">
        <v>80.0</v>
      </c>
      <c r="L65" s="144">
        <v>80.0</v>
      </c>
      <c r="M65" s="144">
        <v>80.0</v>
      </c>
      <c r="N65" s="144">
        <v>80.0</v>
      </c>
      <c r="O65" s="144">
        <v>80.0</v>
      </c>
      <c r="P65" s="144">
        <v>80.0</v>
      </c>
      <c r="Q65" s="145">
        <v>80.0</v>
      </c>
      <c r="R65" s="158"/>
      <c r="S65" s="97"/>
      <c r="T65" s="97"/>
      <c r="U65" s="1"/>
      <c r="V65" s="1"/>
      <c r="W65" s="1"/>
      <c r="X65" s="1"/>
      <c r="Y65" s="1"/>
      <c r="Z65" s="1"/>
      <c r="AA65" s="1"/>
      <c r="AB65" s="1"/>
    </row>
    <row r="66" ht="13.5" customHeight="1">
      <c r="A66" s="97"/>
      <c r="B66" s="97"/>
      <c r="C66" s="56">
        <v>616.0</v>
      </c>
      <c r="D66" s="66" t="s">
        <v>49</v>
      </c>
      <c r="E66" s="60">
        <f t="shared" si="13"/>
        <v>299.26</v>
      </c>
      <c r="F66" s="62">
        <v>299.26</v>
      </c>
      <c r="G66" s="144">
        <v>0.0</v>
      </c>
      <c r="H66" s="144">
        <v>0.0</v>
      </c>
      <c r="I66" s="144">
        <v>0.0</v>
      </c>
      <c r="J66" s="144">
        <v>0.0</v>
      </c>
      <c r="K66" s="144">
        <v>0.0</v>
      </c>
      <c r="L66" s="160">
        <v>0.0</v>
      </c>
      <c r="M66" s="144">
        <v>0.0</v>
      </c>
      <c r="N66" s="144">
        <v>0.0</v>
      </c>
      <c r="O66" s="144">
        <v>0.0</v>
      </c>
      <c r="P66" s="144">
        <v>0.0</v>
      </c>
      <c r="Q66" s="145">
        <v>0.0</v>
      </c>
      <c r="R66" s="161"/>
      <c r="S66" s="97"/>
      <c r="T66" s="97"/>
      <c r="U66" s="1"/>
      <c r="V66" s="1"/>
      <c r="W66" s="1"/>
      <c r="X66" s="1"/>
      <c r="Y66" s="1"/>
      <c r="Z66" s="1"/>
      <c r="AA66" s="1"/>
      <c r="AB66" s="1"/>
    </row>
    <row r="67" ht="13.5" customHeight="1">
      <c r="A67" s="97"/>
      <c r="B67" s="97"/>
      <c r="C67" s="56">
        <v>6227.0</v>
      </c>
      <c r="D67" s="66" t="s">
        <v>51</v>
      </c>
      <c r="E67" s="60">
        <f t="shared" si="13"/>
        <v>0</v>
      </c>
      <c r="F67" s="62">
        <v>0.0</v>
      </c>
      <c r="G67" s="144">
        <v>0.0</v>
      </c>
      <c r="H67" s="144">
        <v>0.0</v>
      </c>
      <c r="I67" s="144"/>
      <c r="J67" s="144"/>
      <c r="K67" s="144"/>
      <c r="L67" s="144"/>
      <c r="M67" s="144"/>
      <c r="N67" s="144"/>
      <c r="O67" s="144"/>
      <c r="P67" s="144"/>
      <c r="Q67" s="145"/>
      <c r="R67" s="158"/>
      <c r="S67" s="97"/>
      <c r="T67" s="97"/>
      <c r="U67" s="1"/>
      <c r="V67" s="1"/>
      <c r="W67" s="1"/>
      <c r="X67" s="1"/>
      <c r="Y67" s="1"/>
      <c r="Z67" s="1"/>
      <c r="AA67" s="1"/>
      <c r="AB67" s="1"/>
    </row>
    <row r="68" ht="13.5" customHeight="1">
      <c r="A68" s="97"/>
      <c r="B68" s="97"/>
      <c r="C68" s="56">
        <v>6251.0</v>
      </c>
      <c r="D68" s="66" t="s">
        <v>52</v>
      </c>
      <c r="E68" s="60">
        <f t="shared" si="13"/>
        <v>652</v>
      </c>
      <c r="F68" s="62">
        <v>112.0</v>
      </c>
      <c r="G68" s="144">
        <v>0.0</v>
      </c>
      <c r="H68" s="144">
        <v>0.0</v>
      </c>
      <c r="I68" s="144">
        <v>60.0</v>
      </c>
      <c r="J68" s="144">
        <v>60.0</v>
      </c>
      <c r="K68" s="144">
        <v>60.0</v>
      </c>
      <c r="L68" s="144">
        <v>60.0</v>
      </c>
      <c r="M68" s="144">
        <v>60.0</v>
      </c>
      <c r="N68" s="144">
        <v>60.0</v>
      </c>
      <c r="O68" s="144">
        <v>60.0</v>
      </c>
      <c r="P68" s="144">
        <v>60.0</v>
      </c>
      <c r="Q68" s="145">
        <v>60.0</v>
      </c>
      <c r="R68" s="158"/>
      <c r="S68" s="97"/>
      <c r="T68" s="97"/>
      <c r="U68" s="1"/>
      <c r="V68" s="1"/>
      <c r="W68" s="1"/>
      <c r="X68" s="1"/>
      <c r="Y68" s="1"/>
      <c r="Z68" s="1"/>
      <c r="AA68" s="1"/>
      <c r="AB68" s="1"/>
    </row>
    <row r="69" ht="13.5" customHeight="1">
      <c r="A69" s="97"/>
      <c r="B69" s="97"/>
      <c r="C69" s="56">
        <v>626.0</v>
      </c>
      <c r="D69" s="66" t="s">
        <v>53</v>
      </c>
      <c r="E69" s="60">
        <f t="shared" si="13"/>
        <v>342.69</v>
      </c>
      <c r="F69" s="62">
        <v>12.79</v>
      </c>
      <c r="G69" s="144">
        <v>0.0</v>
      </c>
      <c r="H69" s="144">
        <v>17.99</v>
      </c>
      <c r="I69" s="144">
        <f t="shared" ref="I69:L69" si="16">17.99+10</f>
        <v>27.99</v>
      </c>
      <c r="J69" s="144">
        <f t="shared" si="16"/>
        <v>27.99</v>
      </c>
      <c r="K69" s="144">
        <f t="shared" si="16"/>
        <v>27.99</v>
      </c>
      <c r="L69" s="144">
        <f t="shared" si="16"/>
        <v>27.99</v>
      </c>
      <c r="M69" s="144">
        <f t="shared" ref="M69:Q69" si="17">10+29.99</f>
        <v>39.99</v>
      </c>
      <c r="N69" s="144">
        <f t="shared" si="17"/>
        <v>39.99</v>
      </c>
      <c r="O69" s="144">
        <f t="shared" si="17"/>
        <v>39.99</v>
      </c>
      <c r="P69" s="144">
        <f t="shared" si="17"/>
        <v>39.99</v>
      </c>
      <c r="Q69" s="145">
        <f t="shared" si="17"/>
        <v>39.99</v>
      </c>
      <c r="R69" s="157" t="s">
        <v>112</v>
      </c>
      <c r="S69" s="97"/>
      <c r="T69" s="97"/>
      <c r="U69" s="1"/>
      <c r="V69" s="1"/>
      <c r="W69" s="1"/>
      <c r="X69" s="1"/>
      <c r="Y69" s="1"/>
      <c r="Z69" s="1"/>
      <c r="AA69" s="1"/>
      <c r="AB69" s="1"/>
    </row>
    <row r="70" ht="13.5" customHeight="1">
      <c r="A70" s="97"/>
      <c r="B70" s="97"/>
      <c r="C70" s="56">
        <v>627.0</v>
      </c>
      <c r="D70" s="66" t="s">
        <v>50</v>
      </c>
      <c r="E70" s="60">
        <f t="shared" si="13"/>
        <v>208.58</v>
      </c>
      <c r="F70" s="62">
        <v>7.3</v>
      </c>
      <c r="G70" s="144">
        <v>13.98</v>
      </c>
      <c r="H70" s="144">
        <v>7.3</v>
      </c>
      <c r="I70" s="144">
        <v>20.0</v>
      </c>
      <c r="J70" s="144">
        <v>20.0</v>
      </c>
      <c r="K70" s="144">
        <v>20.0</v>
      </c>
      <c r="L70" s="144">
        <v>20.0</v>
      </c>
      <c r="M70" s="144">
        <v>20.0</v>
      </c>
      <c r="N70" s="144">
        <v>20.0</v>
      </c>
      <c r="O70" s="144">
        <v>20.0</v>
      </c>
      <c r="P70" s="144">
        <v>20.0</v>
      </c>
      <c r="Q70" s="145">
        <v>20.0</v>
      </c>
      <c r="R70" s="158"/>
      <c r="S70" s="97"/>
      <c r="T70" s="97"/>
      <c r="U70" s="1"/>
      <c r="V70" s="1"/>
      <c r="W70" s="1"/>
      <c r="X70" s="1"/>
      <c r="Y70" s="1"/>
      <c r="Z70" s="1"/>
      <c r="AA70" s="1"/>
      <c r="AB70" s="1"/>
    </row>
    <row r="71" ht="13.5" customHeight="1">
      <c r="A71" s="97"/>
      <c r="B71" s="97"/>
      <c r="C71" s="56">
        <v>6411.0</v>
      </c>
      <c r="D71" s="66" t="s">
        <v>54</v>
      </c>
      <c r="E71" s="60">
        <f t="shared" si="13"/>
        <v>23608.81</v>
      </c>
      <c r="F71" s="144">
        <v>1123.49</v>
      </c>
      <c r="G71" s="144">
        <v>1132.06</v>
      </c>
      <c r="H71" s="144">
        <v>1132.06</v>
      </c>
      <c r="I71" s="144">
        <f t="shared" ref="I71:Q71" si="18">2246.8</f>
        <v>2246.8</v>
      </c>
      <c r="J71" s="144">
        <f t="shared" si="18"/>
        <v>2246.8</v>
      </c>
      <c r="K71" s="144">
        <f t="shared" si="18"/>
        <v>2246.8</v>
      </c>
      <c r="L71" s="144">
        <f t="shared" si="18"/>
        <v>2246.8</v>
      </c>
      <c r="M71" s="144">
        <f t="shared" si="18"/>
        <v>2246.8</v>
      </c>
      <c r="N71" s="144">
        <f t="shared" si="18"/>
        <v>2246.8</v>
      </c>
      <c r="O71" s="144">
        <f t="shared" si="18"/>
        <v>2246.8</v>
      </c>
      <c r="P71" s="144">
        <f t="shared" si="18"/>
        <v>2246.8</v>
      </c>
      <c r="Q71" s="145">
        <f t="shared" si="18"/>
        <v>2246.8</v>
      </c>
      <c r="R71" s="158"/>
      <c r="S71" s="97"/>
      <c r="T71" s="97"/>
      <c r="U71" s="1"/>
      <c r="V71" s="1"/>
      <c r="W71" s="1"/>
      <c r="X71" s="1"/>
      <c r="Y71" s="1"/>
      <c r="Z71" s="1"/>
      <c r="AA71" s="1"/>
      <c r="AB71" s="1"/>
    </row>
    <row r="72" ht="13.5" customHeight="1">
      <c r="A72" s="97"/>
      <c r="B72" s="97"/>
      <c r="C72" s="56">
        <v>6451.0</v>
      </c>
      <c r="D72" s="69" t="s">
        <v>92</v>
      </c>
      <c r="E72" s="60">
        <f t="shared" si="13"/>
        <v>10098</v>
      </c>
      <c r="F72" s="144">
        <v>1607.0</v>
      </c>
      <c r="G72" s="144">
        <v>0.0</v>
      </c>
      <c r="H72" s="144">
        <v>0.0</v>
      </c>
      <c r="I72" s="144">
        <f>(577*5+110)</f>
        <v>2995</v>
      </c>
      <c r="J72" s="144">
        <f t="shared" ref="J72:K72" si="19">110</f>
        <v>110</v>
      </c>
      <c r="K72" s="144">
        <f t="shared" si="19"/>
        <v>110</v>
      </c>
      <c r="L72" s="144">
        <f>(577*4)+110</f>
        <v>2418</v>
      </c>
      <c r="M72" s="144">
        <v>110.0</v>
      </c>
      <c r="N72" s="144">
        <v>110.0</v>
      </c>
      <c r="O72" s="144">
        <f>(577*4)+110</f>
        <v>2418</v>
      </c>
      <c r="P72" s="144">
        <v>110.0</v>
      </c>
      <c r="Q72" s="145">
        <v>110.0</v>
      </c>
      <c r="R72" s="157" t="s">
        <v>115</v>
      </c>
      <c r="S72" s="97"/>
      <c r="T72" s="97"/>
      <c r="U72" s="1"/>
      <c r="V72" s="1"/>
      <c r="W72" s="1"/>
      <c r="X72" s="1"/>
      <c r="Y72" s="1"/>
      <c r="Z72" s="1"/>
      <c r="AA72" s="1"/>
      <c r="AB72" s="1"/>
    </row>
    <row r="73" ht="13.5" customHeight="1">
      <c r="A73" s="97"/>
      <c r="B73" s="97"/>
      <c r="C73" s="56">
        <v>651.0</v>
      </c>
      <c r="D73" s="86" t="s">
        <v>56</v>
      </c>
      <c r="E73" s="143">
        <f t="shared" si="13"/>
        <v>244.11</v>
      </c>
      <c r="F73" s="144">
        <v>247.85000000000002</v>
      </c>
      <c r="G73" s="144">
        <v>-90.0</v>
      </c>
      <c r="H73" s="144">
        <v>86.26</v>
      </c>
      <c r="I73" s="144"/>
      <c r="J73" s="144"/>
      <c r="K73" s="144"/>
      <c r="L73" s="144"/>
      <c r="M73" s="144"/>
      <c r="N73" s="144"/>
      <c r="O73" s="144"/>
      <c r="P73" s="144"/>
      <c r="Q73" s="145"/>
      <c r="R73" s="158"/>
      <c r="S73" s="97"/>
      <c r="T73" s="97"/>
      <c r="U73" s="1"/>
      <c r="V73" s="1"/>
      <c r="W73" s="1"/>
      <c r="X73" s="1"/>
      <c r="Y73" s="1"/>
      <c r="Z73" s="1"/>
      <c r="AA73" s="1"/>
      <c r="AB73" s="1"/>
    </row>
    <row r="74" ht="12.75" customHeight="1">
      <c r="A74" s="97"/>
      <c r="B74" s="97"/>
      <c r="C74" s="56">
        <v>6713.0</v>
      </c>
      <c r="D74" s="86" t="s">
        <v>57</v>
      </c>
      <c r="E74" s="143">
        <f t="shared" si="13"/>
        <v>450</v>
      </c>
      <c r="F74" s="144">
        <v>0.0</v>
      </c>
      <c r="G74" s="144">
        <v>0.0</v>
      </c>
      <c r="H74" s="144">
        <v>0.0</v>
      </c>
      <c r="I74" s="144">
        <v>50.0</v>
      </c>
      <c r="J74" s="144">
        <v>50.0</v>
      </c>
      <c r="K74" s="144">
        <v>50.0</v>
      </c>
      <c r="L74" s="144">
        <v>50.0</v>
      </c>
      <c r="M74" s="144">
        <v>50.0</v>
      </c>
      <c r="N74" s="144">
        <v>50.0</v>
      </c>
      <c r="O74" s="144">
        <v>50.0</v>
      </c>
      <c r="P74" s="144">
        <v>50.0</v>
      </c>
      <c r="Q74" s="145">
        <v>50.0</v>
      </c>
      <c r="R74" s="158"/>
      <c r="S74" s="97"/>
      <c r="T74" s="97"/>
      <c r="U74" s="97"/>
      <c r="V74" s="97"/>
      <c r="W74" s="97"/>
      <c r="X74" s="97"/>
      <c r="Y74" s="97"/>
      <c r="Z74" s="97"/>
      <c r="AA74" s="97"/>
      <c r="AB74" s="97"/>
    </row>
    <row r="75" ht="13.5" customHeight="1">
      <c r="A75" s="97"/>
      <c r="B75" s="97"/>
      <c r="C75" s="56"/>
      <c r="D75" s="168" t="s">
        <v>117</v>
      </c>
      <c r="E75" s="170">
        <f>(E54*0.05)</f>
        <v>8443.6525</v>
      </c>
      <c r="F75" s="172">
        <f t="shared" ref="F75:Q75" si="20">$E$75/12</f>
        <v>703.6377083</v>
      </c>
      <c r="G75" s="172">
        <f t="shared" si="20"/>
        <v>703.6377083</v>
      </c>
      <c r="H75" s="172">
        <f t="shared" si="20"/>
        <v>703.6377083</v>
      </c>
      <c r="I75" s="172">
        <f t="shared" si="20"/>
        <v>703.6377083</v>
      </c>
      <c r="J75" s="172">
        <f t="shared" si="20"/>
        <v>703.6377083</v>
      </c>
      <c r="K75" s="172">
        <f t="shared" si="20"/>
        <v>703.6377083</v>
      </c>
      <c r="L75" s="172">
        <f t="shared" si="20"/>
        <v>703.6377083</v>
      </c>
      <c r="M75" s="172">
        <f t="shared" si="20"/>
        <v>703.6377083</v>
      </c>
      <c r="N75" s="172">
        <f t="shared" si="20"/>
        <v>703.6377083</v>
      </c>
      <c r="O75" s="172">
        <f t="shared" si="20"/>
        <v>703.6377083</v>
      </c>
      <c r="P75" s="172">
        <f t="shared" si="20"/>
        <v>703.6377083</v>
      </c>
      <c r="Q75" s="172">
        <f t="shared" si="20"/>
        <v>703.6377083</v>
      </c>
      <c r="R75" s="157" t="s">
        <v>121</v>
      </c>
      <c r="S75" s="97"/>
      <c r="T75" s="97"/>
      <c r="U75" s="97"/>
      <c r="V75" s="97"/>
      <c r="W75" s="97"/>
      <c r="X75" s="97"/>
      <c r="Y75" s="97"/>
      <c r="Z75" s="97"/>
      <c r="AA75" s="97"/>
      <c r="AB75" s="97"/>
    </row>
    <row r="76" ht="13.5" customHeight="1">
      <c r="A76" s="97"/>
      <c r="B76" s="97"/>
      <c r="C76" s="174"/>
      <c r="D76" s="175"/>
      <c r="E76" s="176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80"/>
      <c r="S76" s="97"/>
      <c r="T76" s="97"/>
      <c r="U76" s="97"/>
      <c r="V76" s="97"/>
      <c r="W76" s="97"/>
      <c r="X76" s="97"/>
      <c r="Y76" s="97"/>
      <c r="Z76" s="97"/>
      <c r="AA76" s="97"/>
      <c r="AB76" s="97"/>
    </row>
    <row r="77" ht="13.5" customHeight="1">
      <c r="A77" s="97"/>
      <c r="B77" s="97"/>
      <c r="C77" s="104">
        <v>40.0</v>
      </c>
      <c r="D77" s="182" t="s">
        <v>60</v>
      </c>
      <c r="E77" s="60">
        <f>SUM(F77:Q77)</f>
        <v>13136.09</v>
      </c>
      <c r="F77" s="144">
        <v>1529.12</v>
      </c>
      <c r="G77" s="144">
        <v>2589.94</v>
      </c>
      <c r="H77" s="144">
        <v>9017.03</v>
      </c>
      <c r="I77" s="184"/>
      <c r="J77" s="184"/>
      <c r="K77" s="184"/>
      <c r="L77" s="184"/>
      <c r="M77" s="184"/>
      <c r="N77" s="184"/>
      <c r="O77" s="184"/>
      <c r="P77" s="184"/>
      <c r="Q77" s="185"/>
      <c r="R77" s="180"/>
      <c r="S77" s="97"/>
      <c r="T77" s="97"/>
      <c r="U77" s="97"/>
      <c r="V77" s="97"/>
      <c r="W77" s="97"/>
      <c r="X77" s="97"/>
      <c r="Y77" s="97"/>
      <c r="Z77" s="97"/>
      <c r="AA77" s="97"/>
      <c r="AB77" s="97"/>
    </row>
    <row r="78" ht="13.5" customHeight="1">
      <c r="A78" s="97"/>
      <c r="B78" s="97"/>
      <c r="C78" s="110"/>
      <c r="D78" s="186"/>
      <c r="E78" s="186"/>
      <c r="F78" s="62"/>
      <c r="G78" s="186"/>
      <c r="H78" s="186"/>
      <c r="I78" s="186"/>
      <c r="J78" s="186"/>
      <c r="K78" s="186"/>
      <c r="L78" s="186"/>
      <c r="M78" s="186"/>
      <c r="N78" s="186"/>
      <c r="O78" s="186"/>
      <c r="P78" s="186"/>
      <c r="Q78" s="187"/>
      <c r="R78" s="189"/>
      <c r="S78" s="97"/>
      <c r="T78" s="97"/>
      <c r="U78" s="97"/>
      <c r="V78" s="97"/>
      <c r="W78" s="97"/>
      <c r="X78" s="97"/>
      <c r="Y78" s="97"/>
      <c r="Z78" s="97"/>
      <c r="AA78" s="97"/>
      <c r="AB78" s="97"/>
    </row>
    <row r="79" ht="13.5" customHeight="1">
      <c r="A79" s="97"/>
      <c r="B79" s="97"/>
      <c r="C79" s="114">
        <v>6037.0</v>
      </c>
      <c r="D79" s="190" t="s">
        <v>67</v>
      </c>
      <c r="E79" s="60"/>
      <c r="F79" s="144">
        <v>7286.0</v>
      </c>
      <c r="G79" s="144">
        <v>9438.0</v>
      </c>
      <c r="H79" s="144">
        <v>11591.0</v>
      </c>
      <c r="I79" s="184"/>
      <c r="J79" s="184"/>
      <c r="K79" s="184"/>
      <c r="L79" s="184"/>
      <c r="M79" s="184"/>
      <c r="N79" s="184"/>
      <c r="O79" s="184"/>
      <c r="P79" s="184"/>
      <c r="Q79" s="185"/>
      <c r="R79" s="180"/>
      <c r="S79" s="97"/>
      <c r="T79" s="97"/>
      <c r="U79" s="97"/>
      <c r="V79" s="97"/>
      <c r="W79" s="97"/>
      <c r="X79" s="97"/>
      <c r="Y79" s="97"/>
      <c r="Z79" s="97"/>
      <c r="AA79" s="97"/>
      <c r="AB79" s="97"/>
    </row>
    <row r="80" ht="13.5" customHeight="1">
      <c r="A80" s="97"/>
      <c r="B80" s="97"/>
      <c r="C80" s="119"/>
      <c r="D80" s="190" t="s">
        <v>71</v>
      </c>
      <c r="E80" s="60">
        <f t="shared" ref="E80:E81" si="21">SUM(F80:Q80)</f>
        <v>8551.72</v>
      </c>
      <c r="F80" s="144">
        <v>4246.719999999999</v>
      </c>
      <c r="G80" s="144">
        <v>2152.0</v>
      </c>
      <c r="H80" s="144">
        <v>2153.0</v>
      </c>
      <c r="I80" s="184"/>
      <c r="J80" s="184"/>
      <c r="K80" s="184"/>
      <c r="L80" s="184"/>
      <c r="M80" s="184"/>
      <c r="N80" s="184"/>
      <c r="O80" s="184"/>
      <c r="P80" s="184"/>
      <c r="Q80" s="185"/>
      <c r="R80" s="180"/>
      <c r="S80" s="97"/>
      <c r="T80" s="97"/>
      <c r="U80" s="97"/>
      <c r="V80" s="97"/>
      <c r="W80" s="97"/>
      <c r="X80" s="97"/>
      <c r="Y80" s="97"/>
      <c r="Z80" s="97"/>
      <c r="AA80" s="97"/>
      <c r="AB80" s="97"/>
    </row>
    <row r="81" ht="13.5" customHeight="1">
      <c r="A81" s="97"/>
      <c r="B81" s="97"/>
      <c r="C81" s="119"/>
      <c r="D81" s="190" t="s">
        <v>73</v>
      </c>
      <c r="E81" s="60">
        <f t="shared" si="21"/>
        <v>12092.65</v>
      </c>
      <c r="F81" s="144">
        <v>1695.2800000000007</v>
      </c>
      <c r="G81" s="144">
        <v>5702.67</v>
      </c>
      <c r="H81" s="144">
        <v>4694.700000000001</v>
      </c>
      <c r="I81" s="184"/>
      <c r="J81" s="184"/>
      <c r="K81" s="184"/>
      <c r="L81" s="184"/>
      <c r="M81" s="184"/>
      <c r="N81" s="184"/>
      <c r="O81" s="184"/>
      <c r="P81" s="184"/>
      <c r="Q81" s="185"/>
      <c r="R81" s="180"/>
      <c r="S81" s="97"/>
      <c r="T81" s="97"/>
      <c r="U81" s="97"/>
      <c r="V81" s="97"/>
      <c r="W81" s="97"/>
      <c r="X81" s="97"/>
      <c r="Y81" s="97"/>
      <c r="Z81" s="97"/>
      <c r="AA81" s="97"/>
      <c r="AB81" s="97"/>
    </row>
    <row r="82" ht="13.5" customHeight="1">
      <c r="A82" s="97"/>
      <c r="B82" s="97"/>
      <c r="C82" s="122"/>
      <c r="D82" s="190" t="s">
        <v>74</v>
      </c>
      <c r="E82" s="123">
        <f>E81/(E49+E80)</f>
        <v>0.08910705631</v>
      </c>
      <c r="F82" s="124">
        <v>0.12361160430111923</v>
      </c>
      <c r="G82" s="124">
        <v>0.26909820694627823</v>
      </c>
      <c r="H82" s="124">
        <v>0.18194480616117273</v>
      </c>
      <c r="I82" s="186"/>
      <c r="J82" s="184"/>
      <c r="K82" s="184"/>
      <c r="L82" s="184"/>
      <c r="M82" s="184"/>
      <c r="N82" s="184"/>
      <c r="O82" s="184"/>
      <c r="P82" s="184"/>
      <c r="Q82" s="185"/>
      <c r="R82" s="180"/>
      <c r="S82" s="97"/>
      <c r="T82" s="97"/>
      <c r="U82" s="97"/>
      <c r="V82" s="97"/>
      <c r="W82" s="97"/>
      <c r="X82" s="97"/>
      <c r="Y82" s="97"/>
      <c r="Z82" s="97"/>
      <c r="AA82" s="97"/>
      <c r="AB82" s="97"/>
    </row>
    <row r="83" ht="13.5" customHeight="1">
      <c r="A83" s="97"/>
      <c r="B83" s="97"/>
      <c r="C83" s="97"/>
      <c r="D83" s="136"/>
      <c r="E83" s="191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58"/>
      <c r="S83" s="97"/>
      <c r="T83" s="97"/>
      <c r="U83" s="97"/>
      <c r="V83" s="97"/>
      <c r="W83" s="97"/>
      <c r="X83" s="97"/>
      <c r="Y83" s="97"/>
      <c r="Z83" s="97"/>
      <c r="AA83" s="97"/>
      <c r="AB83" s="97"/>
    </row>
    <row r="84" ht="13.5" customHeight="1">
      <c r="A84" s="48" t="s">
        <v>29</v>
      </c>
      <c r="B84" s="128">
        <f>+SUM(D84:U84)</f>
        <v>40348.1475</v>
      </c>
      <c r="C84" s="97"/>
      <c r="D84" s="129" t="s">
        <v>134</v>
      </c>
      <c r="E84" s="130">
        <f t="shared" ref="E84:Q84" si="22">+SUM(E48-E54)</f>
        <v>24395.9</v>
      </c>
      <c r="F84" s="130">
        <f t="shared" si="22"/>
        <v>15891.26229</v>
      </c>
      <c r="G84" s="130">
        <f t="shared" si="22"/>
        <v>3019.912292</v>
      </c>
      <c r="H84" s="130">
        <f t="shared" si="22"/>
        <v>4636.202292</v>
      </c>
      <c r="I84" s="130">
        <f t="shared" si="22"/>
        <v>-2849.147708</v>
      </c>
      <c r="J84" s="130">
        <f t="shared" si="22"/>
        <v>2430.352292</v>
      </c>
      <c r="K84" s="130">
        <f t="shared" si="22"/>
        <v>3618.052292</v>
      </c>
      <c r="L84" s="130">
        <f t="shared" si="22"/>
        <v>-2397.647708</v>
      </c>
      <c r="M84" s="130">
        <f t="shared" si="22"/>
        <v>-2384.647708</v>
      </c>
      <c r="N84" s="130">
        <f t="shared" si="22"/>
        <v>-381.6477083</v>
      </c>
      <c r="O84" s="130">
        <f t="shared" si="22"/>
        <v>-1814.147708</v>
      </c>
      <c r="P84" s="130">
        <f t="shared" si="22"/>
        <v>-2081.647708</v>
      </c>
      <c r="Q84" s="132">
        <f t="shared" si="22"/>
        <v>-1734.647708</v>
      </c>
      <c r="R84" s="158"/>
      <c r="S84" s="97"/>
      <c r="T84" s="97"/>
      <c r="U84" s="97"/>
      <c r="V84" s="97"/>
      <c r="W84" s="97"/>
      <c r="X84" s="97"/>
      <c r="Y84" s="97"/>
      <c r="Z84" s="97"/>
      <c r="AA84" s="97"/>
      <c r="AB84" s="97"/>
    </row>
    <row r="85" ht="13.5" customHeight="1">
      <c r="A85" s="1"/>
      <c r="B85" s="1"/>
      <c r="C85" s="97"/>
      <c r="D85" s="97" t="s">
        <v>136</v>
      </c>
      <c r="E85" s="193" t="str">
        <f>#REF!</f>
        <v>#REF!</v>
      </c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7"/>
      <c r="R85" s="4"/>
      <c r="S85" s="97"/>
      <c r="T85" s="97"/>
      <c r="U85" s="97"/>
      <c r="V85" s="97"/>
      <c r="W85" s="97"/>
      <c r="X85" s="97"/>
      <c r="Y85" s="97"/>
      <c r="Z85" s="97"/>
      <c r="AA85" s="97"/>
      <c r="AB85" s="97"/>
    </row>
    <row r="86" ht="13.5" customHeight="1">
      <c r="A86" s="97"/>
      <c r="B86" s="97"/>
      <c r="C86" s="97"/>
      <c r="D86" s="48" t="s">
        <v>85</v>
      </c>
      <c r="E86" s="199">
        <v>4000.0</v>
      </c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1"/>
      <c r="V86" s="1"/>
      <c r="W86" s="1"/>
      <c r="X86" s="1"/>
      <c r="Y86" s="1"/>
      <c r="Z86" s="97"/>
      <c r="AA86" s="97"/>
      <c r="AB86" s="97"/>
    </row>
    <row r="87" ht="13.5" customHeight="1">
      <c r="A87" s="97"/>
      <c r="B87" s="97"/>
      <c r="C87" s="97"/>
      <c r="D87" s="97"/>
      <c r="E87" s="202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1"/>
      <c r="V87" s="1"/>
      <c r="W87" s="1"/>
      <c r="X87" s="1"/>
      <c r="Y87" s="1"/>
      <c r="Z87" s="1"/>
      <c r="AA87" s="1"/>
      <c r="AB87" s="1"/>
    </row>
    <row r="88" ht="13.5" customHeight="1">
      <c r="A88" s="97"/>
      <c r="B88" s="97"/>
      <c r="C88" s="97"/>
      <c r="D88" s="97"/>
      <c r="E88" s="202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1"/>
      <c r="V88" s="1"/>
      <c r="W88" s="1"/>
      <c r="X88" s="1"/>
      <c r="Y88" s="1"/>
      <c r="Z88" s="1"/>
      <c r="AA88" s="1"/>
      <c r="AB88" s="1"/>
    </row>
    <row r="89" ht="13.5" customHeight="1">
      <c r="A89" s="97"/>
      <c r="B89" s="97"/>
      <c r="C89" s="97"/>
      <c r="D89" s="97"/>
      <c r="E89" s="202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1"/>
      <c r="V89" s="1"/>
      <c r="W89" s="1"/>
      <c r="X89" s="1"/>
      <c r="Y89" s="1"/>
      <c r="Z89" s="1"/>
      <c r="AA89" s="1"/>
      <c r="AB89" s="1"/>
    </row>
    <row r="90" ht="13.5" customHeight="1">
      <c r="A90" s="97"/>
      <c r="B90" s="97"/>
      <c r="C90" s="97"/>
      <c r="D90" s="97"/>
      <c r="E90" s="202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1"/>
      <c r="V90" s="1"/>
      <c r="W90" s="1"/>
      <c r="X90" s="1"/>
      <c r="Y90" s="1"/>
      <c r="Z90" s="1"/>
      <c r="AA90" s="1"/>
      <c r="AB90" s="1"/>
    </row>
    <row r="91" ht="13.5" customHeight="1">
      <c r="A91" s="97"/>
      <c r="B91" s="97"/>
      <c r="C91" s="97"/>
      <c r="D91" s="97"/>
      <c r="E91" s="202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1"/>
      <c r="V91" s="1"/>
      <c r="W91" s="1"/>
      <c r="X91" s="1"/>
      <c r="Y91" s="1"/>
      <c r="Z91" s="1"/>
      <c r="AA91" s="1"/>
      <c r="AB91" s="1"/>
    </row>
    <row r="92" ht="13.5" customHeight="1">
      <c r="A92" s="97"/>
      <c r="B92" s="97"/>
      <c r="C92" s="97"/>
      <c r="D92" s="97"/>
      <c r="E92" s="202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1"/>
      <c r="V92" s="1"/>
      <c r="W92" s="1"/>
      <c r="X92" s="1"/>
      <c r="Y92" s="1"/>
      <c r="Z92" s="1"/>
      <c r="AA92" s="1"/>
      <c r="AB92" s="1"/>
    </row>
    <row r="93" ht="13.5" customHeight="1">
      <c r="A93" s="97"/>
      <c r="B93" s="97"/>
      <c r="C93" s="97"/>
      <c r="D93" s="97"/>
      <c r="E93" s="202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1"/>
      <c r="V93" s="1"/>
      <c r="W93" s="1"/>
      <c r="X93" s="1"/>
      <c r="Y93" s="1"/>
      <c r="Z93" s="1"/>
      <c r="AA93" s="1"/>
      <c r="AB93" s="1"/>
    </row>
    <row r="94" ht="13.5" customHeight="1">
      <c r="A94" s="97"/>
      <c r="B94" s="97"/>
      <c r="C94" s="97"/>
      <c r="D94" s="97"/>
      <c r="E94" s="202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1"/>
      <c r="V94" s="1"/>
      <c r="W94" s="1"/>
      <c r="X94" s="1"/>
      <c r="Y94" s="1"/>
      <c r="Z94" s="1"/>
      <c r="AA94" s="1"/>
      <c r="AB94" s="1"/>
    </row>
    <row r="95" ht="13.5" customHeight="1">
      <c r="A95" s="97"/>
      <c r="B95" s="97"/>
      <c r="C95" s="97"/>
      <c r="D95" s="97"/>
      <c r="E95" s="202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1"/>
      <c r="V95" s="1"/>
      <c r="W95" s="1"/>
      <c r="X95" s="1"/>
      <c r="Y95" s="1"/>
      <c r="Z95" s="1"/>
      <c r="AA95" s="1"/>
      <c r="AB95" s="1"/>
    </row>
    <row r="96" ht="13.5" customHeight="1">
      <c r="A96" s="97"/>
      <c r="B96" s="97"/>
      <c r="C96" s="97"/>
      <c r="D96" s="97"/>
      <c r="E96" s="202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1"/>
      <c r="V96" s="1"/>
      <c r="W96" s="1"/>
      <c r="X96" s="1"/>
      <c r="Y96" s="1"/>
      <c r="Z96" s="1"/>
      <c r="AA96" s="1"/>
      <c r="AB96" s="1"/>
    </row>
    <row r="97" ht="13.5" customHeight="1">
      <c r="A97" s="97"/>
      <c r="B97" s="97"/>
      <c r="C97" s="97"/>
      <c r="D97" s="97"/>
      <c r="E97" s="202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1"/>
      <c r="V97" s="1"/>
      <c r="W97" s="1"/>
      <c r="X97" s="1"/>
      <c r="Y97" s="1"/>
      <c r="Z97" s="1"/>
      <c r="AA97" s="1"/>
      <c r="AB97" s="1"/>
    </row>
    <row r="98" ht="13.5" customHeight="1">
      <c r="A98" s="97"/>
      <c r="B98" s="97"/>
      <c r="C98" s="97"/>
      <c r="D98" s="97"/>
      <c r="E98" s="202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1"/>
      <c r="V98" s="1"/>
      <c r="W98" s="1"/>
      <c r="X98" s="1"/>
      <c r="Y98" s="1"/>
      <c r="Z98" s="1"/>
      <c r="AA98" s="1"/>
      <c r="AB98" s="1"/>
    </row>
    <row r="99" ht="13.5" customHeight="1">
      <c r="A99" s="97"/>
      <c r="B99" s="97"/>
      <c r="C99" s="97"/>
      <c r="D99" s="97"/>
      <c r="E99" s="202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1"/>
      <c r="V99" s="1"/>
      <c r="W99" s="1"/>
      <c r="X99" s="1"/>
      <c r="Y99" s="1"/>
      <c r="Z99" s="1"/>
      <c r="AA99" s="1"/>
      <c r="AB99" s="1"/>
    </row>
    <row r="100" ht="13.5" customHeight="1">
      <c r="A100" s="97"/>
      <c r="B100" s="97"/>
      <c r="C100" s="97"/>
      <c r="D100" s="97"/>
      <c r="E100" s="202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1"/>
      <c r="V100" s="1"/>
      <c r="W100" s="1"/>
      <c r="X100" s="1"/>
      <c r="Y100" s="1"/>
      <c r="Z100" s="1"/>
      <c r="AA100" s="1"/>
      <c r="AB100" s="1"/>
    </row>
    <row r="101" ht="13.5" customHeight="1">
      <c r="A101" s="97"/>
      <c r="B101" s="97"/>
      <c r="C101" s="97"/>
      <c r="D101" s="97"/>
      <c r="E101" s="202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1"/>
      <c r="V101" s="1"/>
      <c r="W101" s="1"/>
      <c r="X101" s="1"/>
      <c r="Y101" s="1"/>
      <c r="Z101" s="1"/>
      <c r="AA101" s="1"/>
      <c r="AB101" s="1"/>
    </row>
    <row r="102" ht="13.5" customHeight="1">
      <c r="A102" s="97"/>
      <c r="B102" s="97"/>
      <c r="C102" s="97"/>
      <c r="D102" s="97"/>
      <c r="E102" s="202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1"/>
      <c r="V102" s="1"/>
      <c r="W102" s="1"/>
      <c r="X102" s="1"/>
      <c r="Y102" s="1"/>
      <c r="Z102" s="1"/>
      <c r="AA102" s="1"/>
      <c r="AB102" s="1"/>
    </row>
    <row r="103" ht="13.5" customHeight="1">
      <c r="A103" s="97"/>
      <c r="B103" s="97"/>
      <c r="C103" s="97"/>
      <c r="D103" s="97"/>
      <c r="E103" s="202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1"/>
      <c r="V103" s="1"/>
      <c r="W103" s="1"/>
      <c r="X103" s="1"/>
      <c r="Y103" s="1"/>
      <c r="Z103" s="1"/>
      <c r="AA103" s="1"/>
      <c r="AB103" s="1"/>
    </row>
    <row r="104" ht="13.5" customHeight="1">
      <c r="A104" s="97"/>
      <c r="B104" s="97"/>
      <c r="C104" s="97"/>
      <c r="D104" s="97"/>
      <c r="E104" s="202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1"/>
      <c r="V104" s="1"/>
      <c r="W104" s="1"/>
      <c r="X104" s="1"/>
      <c r="Y104" s="1"/>
      <c r="Z104" s="1"/>
      <c r="AA104" s="1"/>
      <c r="AB104" s="1"/>
    </row>
    <row r="105" ht="13.5" customHeight="1">
      <c r="A105" s="97"/>
      <c r="B105" s="97"/>
      <c r="C105" s="97"/>
      <c r="D105" s="97"/>
      <c r="E105" s="202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1"/>
      <c r="V105" s="1"/>
      <c r="W105" s="1"/>
      <c r="X105" s="1"/>
      <c r="Y105" s="1"/>
      <c r="Z105" s="1"/>
      <c r="AA105" s="1"/>
      <c r="AB105" s="1"/>
    </row>
    <row r="106" ht="13.5" customHeight="1">
      <c r="A106" s="97"/>
      <c r="B106" s="97"/>
      <c r="C106" s="97"/>
      <c r="D106" s="97"/>
      <c r="E106" s="202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1"/>
      <c r="V106" s="1"/>
      <c r="W106" s="1"/>
      <c r="X106" s="1"/>
      <c r="Y106" s="1"/>
      <c r="Z106" s="1"/>
      <c r="AA106" s="1"/>
      <c r="AB106" s="1"/>
    </row>
    <row r="107" ht="13.5" customHeight="1">
      <c r="A107" s="97"/>
      <c r="B107" s="97"/>
      <c r="C107" s="97"/>
      <c r="D107" s="97"/>
      <c r="E107" s="202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1"/>
      <c r="V107" s="1"/>
      <c r="W107" s="1"/>
      <c r="X107" s="1"/>
      <c r="Y107" s="1"/>
      <c r="Z107" s="1"/>
      <c r="AA107" s="1"/>
      <c r="AB107" s="1"/>
    </row>
    <row r="108" ht="13.5" customHeight="1">
      <c r="A108" s="97"/>
      <c r="B108" s="97"/>
      <c r="C108" s="97"/>
      <c r="D108" s="97"/>
      <c r="E108" s="202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1"/>
      <c r="V108" s="1"/>
      <c r="W108" s="1"/>
      <c r="X108" s="1"/>
      <c r="Y108" s="1"/>
      <c r="Z108" s="1"/>
      <c r="AA108" s="1"/>
      <c r="AB108" s="1"/>
    </row>
    <row r="109" ht="13.5" customHeight="1">
      <c r="A109" s="97"/>
      <c r="B109" s="97"/>
      <c r="C109" s="97"/>
      <c r="D109" s="97"/>
      <c r="E109" s="202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1"/>
      <c r="V109" s="1"/>
      <c r="W109" s="1"/>
      <c r="X109" s="1"/>
      <c r="Y109" s="1"/>
      <c r="Z109" s="1"/>
      <c r="AA109" s="1"/>
      <c r="AB109" s="1"/>
    </row>
    <row r="110" ht="13.5" customHeight="1">
      <c r="A110" s="97"/>
      <c r="B110" s="97"/>
      <c r="C110" s="97"/>
      <c r="D110" s="97"/>
      <c r="E110" s="202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1"/>
      <c r="V110" s="1"/>
      <c r="W110" s="1"/>
      <c r="X110" s="1"/>
      <c r="Y110" s="1"/>
      <c r="Z110" s="1"/>
      <c r="AA110" s="1"/>
      <c r="AB110" s="1"/>
    </row>
    <row r="111" ht="13.5" customHeight="1">
      <c r="A111" s="97"/>
      <c r="B111" s="97"/>
      <c r="C111" s="97"/>
      <c r="D111" s="97"/>
      <c r="E111" s="202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1"/>
      <c r="V111" s="1"/>
      <c r="W111" s="1"/>
      <c r="X111" s="1"/>
      <c r="Y111" s="1"/>
      <c r="Z111" s="1"/>
      <c r="AA111" s="1"/>
      <c r="AB111" s="1"/>
    </row>
    <row r="112" ht="13.5" customHeight="1">
      <c r="A112" s="97"/>
      <c r="B112" s="97"/>
      <c r="C112" s="97"/>
      <c r="D112" s="97"/>
      <c r="E112" s="202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1"/>
      <c r="V112" s="1"/>
      <c r="W112" s="1"/>
      <c r="X112" s="1"/>
      <c r="Y112" s="1"/>
      <c r="Z112" s="1"/>
      <c r="AA112" s="1"/>
      <c r="AB112" s="1"/>
    </row>
    <row r="113" ht="13.5" customHeight="1">
      <c r="A113" s="97"/>
      <c r="B113" s="97"/>
      <c r="C113" s="97"/>
      <c r="D113" s="97"/>
      <c r="E113" s="202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1"/>
      <c r="V113" s="1"/>
      <c r="W113" s="1"/>
      <c r="X113" s="1"/>
      <c r="Y113" s="1"/>
      <c r="Z113" s="1"/>
      <c r="AA113" s="1"/>
      <c r="AB113" s="1"/>
    </row>
    <row r="114" ht="13.5" customHeight="1">
      <c r="A114" s="97"/>
      <c r="B114" s="97"/>
      <c r="C114" s="97"/>
      <c r="D114" s="97"/>
      <c r="E114" s="202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1"/>
      <c r="V114" s="1"/>
      <c r="W114" s="1"/>
      <c r="X114" s="1"/>
      <c r="Y114" s="1"/>
      <c r="Z114" s="1"/>
      <c r="AA114" s="1"/>
      <c r="AB114" s="1"/>
    </row>
    <row r="115" ht="13.5" customHeight="1">
      <c r="A115" s="97"/>
      <c r="B115" s="97"/>
      <c r="C115" s="97"/>
      <c r="D115" s="97"/>
      <c r="E115" s="202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1"/>
      <c r="V115" s="1"/>
      <c r="W115" s="1"/>
      <c r="X115" s="1"/>
      <c r="Y115" s="1"/>
      <c r="Z115" s="1"/>
      <c r="AA115" s="1"/>
      <c r="AB115" s="1"/>
    </row>
    <row r="116" ht="13.5" customHeight="1">
      <c r="A116" s="97"/>
      <c r="B116" s="97"/>
      <c r="C116" s="97"/>
      <c r="D116" s="97"/>
      <c r="E116" s="202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1"/>
      <c r="V116" s="1"/>
      <c r="W116" s="1"/>
      <c r="X116" s="1"/>
      <c r="Y116" s="1"/>
      <c r="Z116" s="1"/>
      <c r="AA116" s="1"/>
      <c r="AB116" s="1"/>
    </row>
    <row r="117" ht="13.5" customHeight="1">
      <c r="A117" s="97"/>
      <c r="B117" s="97"/>
      <c r="C117" s="97"/>
      <c r="D117" s="97"/>
      <c r="E117" s="202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1"/>
      <c r="V117" s="1"/>
      <c r="W117" s="1"/>
      <c r="X117" s="1"/>
      <c r="Y117" s="1"/>
      <c r="Z117" s="1"/>
      <c r="AA117" s="1"/>
      <c r="AB117" s="1"/>
    </row>
    <row r="118" ht="13.5" customHeight="1">
      <c r="A118" s="97"/>
      <c r="B118" s="97"/>
      <c r="C118" s="97"/>
      <c r="D118" s="97"/>
      <c r="E118" s="202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1"/>
      <c r="V118" s="1"/>
      <c r="W118" s="1"/>
      <c r="X118" s="1"/>
      <c r="Y118" s="1"/>
      <c r="Z118" s="1"/>
      <c r="AA118" s="1"/>
      <c r="AB118" s="1"/>
    </row>
    <row r="119" ht="13.5" customHeight="1">
      <c r="A119" s="97"/>
      <c r="B119" s="97"/>
      <c r="C119" s="97"/>
      <c r="D119" s="97"/>
      <c r="E119" s="202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1"/>
      <c r="V119" s="1"/>
      <c r="W119" s="1"/>
      <c r="X119" s="1"/>
      <c r="Y119" s="1"/>
      <c r="Z119" s="1"/>
      <c r="AA119" s="1"/>
      <c r="AB119" s="1"/>
    </row>
    <row r="120" ht="13.5" customHeight="1">
      <c r="A120" s="97"/>
      <c r="B120" s="97"/>
      <c r="C120" s="97"/>
      <c r="D120" s="97"/>
      <c r="E120" s="202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1"/>
      <c r="V120" s="1"/>
      <c r="W120" s="1"/>
      <c r="X120" s="1"/>
      <c r="Y120" s="1"/>
      <c r="Z120" s="1"/>
      <c r="AA120" s="1"/>
      <c r="AB120" s="1"/>
    </row>
    <row r="121" ht="13.5" customHeight="1">
      <c r="A121" s="97"/>
      <c r="B121" s="97"/>
      <c r="C121" s="97"/>
      <c r="D121" s="97"/>
      <c r="E121" s="202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1"/>
      <c r="V121" s="1"/>
      <c r="W121" s="1"/>
      <c r="X121" s="1"/>
      <c r="Y121" s="1"/>
      <c r="Z121" s="1"/>
      <c r="AA121" s="1"/>
      <c r="AB121" s="1"/>
    </row>
    <row r="122" ht="13.5" customHeight="1">
      <c r="A122" s="97"/>
      <c r="B122" s="97"/>
      <c r="C122" s="97"/>
      <c r="D122" s="97"/>
      <c r="E122" s="202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1"/>
      <c r="V122" s="1"/>
      <c r="W122" s="1"/>
      <c r="X122" s="1"/>
      <c r="Y122" s="1"/>
      <c r="Z122" s="1"/>
      <c r="AA122" s="1"/>
      <c r="AB122" s="1"/>
    </row>
    <row r="123" ht="13.5" customHeight="1">
      <c r="A123" s="97"/>
      <c r="B123" s="97"/>
      <c r="C123" s="97"/>
      <c r="D123" s="97"/>
      <c r="E123" s="202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1"/>
      <c r="V123" s="1"/>
      <c r="W123" s="1"/>
      <c r="X123" s="1"/>
      <c r="Y123" s="1"/>
      <c r="Z123" s="1"/>
      <c r="AA123" s="1"/>
      <c r="AB123" s="1"/>
    </row>
    <row r="124" ht="13.5" customHeight="1">
      <c r="A124" s="97"/>
      <c r="B124" s="97"/>
      <c r="C124" s="97"/>
      <c r="D124" s="97"/>
      <c r="E124" s="202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1"/>
      <c r="V124" s="1"/>
      <c r="W124" s="1"/>
      <c r="X124" s="1"/>
      <c r="Y124" s="1"/>
      <c r="Z124" s="1"/>
      <c r="AA124" s="1"/>
      <c r="AB124" s="1"/>
    </row>
    <row r="125" ht="13.5" customHeight="1">
      <c r="A125" s="97"/>
      <c r="B125" s="97"/>
      <c r="C125" s="97"/>
      <c r="D125" s="97"/>
      <c r="E125" s="202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1"/>
      <c r="V125" s="1"/>
      <c r="W125" s="1"/>
      <c r="X125" s="1"/>
      <c r="Y125" s="1"/>
      <c r="Z125" s="1"/>
      <c r="AA125" s="1"/>
      <c r="AB125" s="1"/>
    </row>
    <row r="126" ht="13.5" customHeight="1">
      <c r="A126" s="97"/>
      <c r="B126" s="97"/>
      <c r="C126" s="97"/>
      <c r="D126" s="97"/>
      <c r="E126" s="202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1"/>
      <c r="V126" s="1"/>
      <c r="W126" s="1"/>
      <c r="X126" s="1"/>
      <c r="Y126" s="1"/>
      <c r="Z126" s="1"/>
      <c r="AA126" s="1"/>
      <c r="AB126" s="1"/>
    </row>
    <row r="127" ht="13.5" customHeight="1">
      <c r="A127" s="97"/>
      <c r="B127" s="97"/>
      <c r="C127" s="97"/>
      <c r="D127" s="97"/>
      <c r="E127" s="202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1"/>
      <c r="V127" s="1"/>
      <c r="W127" s="1"/>
      <c r="X127" s="1"/>
      <c r="Y127" s="1"/>
      <c r="Z127" s="1"/>
      <c r="AA127" s="1"/>
      <c r="AB127" s="1"/>
    </row>
    <row r="128" ht="13.5" customHeight="1">
      <c r="A128" s="97"/>
      <c r="B128" s="97"/>
      <c r="C128" s="97"/>
      <c r="D128" s="97"/>
      <c r="E128" s="202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1"/>
      <c r="V128" s="1"/>
      <c r="W128" s="1"/>
      <c r="X128" s="1"/>
      <c r="Y128" s="1"/>
      <c r="Z128" s="1"/>
      <c r="AA128" s="1"/>
      <c r="AB128" s="1"/>
    </row>
    <row r="129" ht="13.5" customHeight="1">
      <c r="A129" s="97"/>
      <c r="B129" s="97"/>
      <c r="C129" s="97"/>
      <c r="D129" s="97"/>
      <c r="E129" s="202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1"/>
      <c r="V129" s="1"/>
      <c r="W129" s="1"/>
      <c r="X129" s="1"/>
      <c r="Y129" s="1"/>
      <c r="Z129" s="1"/>
      <c r="AA129" s="1"/>
      <c r="AB129" s="1"/>
    </row>
    <row r="130" ht="13.5" customHeight="1">
      <c r="A130" s="97"/>
      <c r="B130" s="97"/>
      <c r="C130" s="97"/>
      <c r="D130" s="97"/>
      <c r="E130" s="202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1"/>
      <c r="V130" s="1"/>
      <c r="W130" s="1"/>
      <c r="X130" s="1"/>
      <c r="Y130" s="1"/>
      <c r="Z130" s="1"/>
      <c r="AA130" s="1"/>
      <c r="AB130" s="1"/>
    </row>
    <row r="131" ht="13.5" customHeight="1">
      <c r="A131" s="97"/>
      <c r="B131" s="97"/>
      <c r="C131" s="97"/>
      <c r="D131" s="97"/>
      <c r="E131" s="202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1"/>
      <c r="V131" s="1"/>
      <c r="W131" s="1"/>
      <c r="X131" s="1"/>
      <c r="Y131" s="1"/>
      <c r="Z131" s="1"/>
      <c r="AA131" s="1"/>
      <c r="AB131" s="1"/>
    </row>
    <row r="132" ht="13.5" customHeight="1">
      <c r="A132" s="97"/>
      <c r="B132" s="97"/>
      <c r="C132" s="97"/>
      <c r="D132" s="97"/>
      <c r="E132" s="202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1"/>
      <c r="V132" s="1"/>
      <c r="W132" s="1"/>
      <c r="X132" s="1"/>
      <c r="Y132" s="1"/>
      <c r="Z132" s="1"/>
      <c r="AA132" s="1"/>
      <c r="AB132" s="1"/>
    </row>
    <row r="133" ht="13.5" customHeight="1">
      <c r="A133" s="97"/>
      <c r="B133" s="97"/>
      <c r="C133" s="97"/>
      <c r="D133" s="97"/>
      <c r="E133" s="202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1"/>
      <c r="V133" s="1"/>
      <c r="W133" s="1"/>
      <c r="X133" s="1"/>
      <c r="Y133" s="1"/>
      <c r="Z133" s="1"/>
      <c r="AA133" s="1"/>
      <c r="AB133" s="1"/>
    </row>
    <row r="134" ht="13.5" customHeight="1">
      <c r="A134" s="97"/>
      <c r="B134" s="97"/>
      <c r="C134" s="97"/>
      <c r="D134" s="97"/>
      <c r="E134" s="202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1"/>
      <c r="V134" s="1"/>
      <c r="W134" s="1"/>
      <c r="X134" s="1"/>
      <c r="Y134" s="1"/>
      <c r="Z134" s="1"/>
      <c r="AA134" s="1"/>
      <c r="AB134" s="1"/>
    </row>
    <row r="135" ht="13.5" customHeight="1">
      <c r="A135" s="97"/>
      <c r="B135" s="97"/>
      <c r="C135" s="97"/>
      <c r="D135" s="97"/>
      <c r="E135" s="202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1"/>
      <c r="V135" s="1"/>
      <c r="W135" s="1"/>
      <c r="X135" s="1"/>
      <c r="Y135" s="1"/>
      <c r="Z135" s="1"/>
      <c r="AA135" s="1"/>
      <c r="AB135" s="1"/>
    </row>
    <row r="136" ht="13.5" customHeight="1">
      <c r="A136" s="97"/>
      <c r="B136" s="97"/>
      <c r="C136" s="97"/>
      <c r="D136" s="97"/>
      <c r="E136" s="202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1"/>
      <c r="V136" s="1"/>
      <c r="W136" s="1"/>
      <c r="X136" s="1"/>
      <c r="Y136" s="1"/>
      <c r="Z136" s="1"/>
      <c r="AA136" s="1"/>
      <c r="AB136" s="1"/>
    </row>
    <row r="137" ht="13.5" customHeight="1">
      <c r="A137" s="97"/>
      <c r="B137" s="97"/>
      <c r="C137" s="97"/>
      <c r="D137" s="97"/>
      <c r="E137" s="202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1"/>
      <c r="V137" s="1"/>
      <c r="W137" s="1"/>
      <c r="X137" s="1"/>
      <c r="Y137" s="1"/>
      <c r="Z137" s="1"/>
      <c r="AA137" s="1"/>
      <c r="AB137" s="1"/>
    </row>
    <row r="138" ht="13.5" customHeight="1">
      <c r="A138" s="97"/>
      <c r="B138" s="97"/>
      <c r="C138" s="97"/>
      <c r="D138" s="97"/>
      <c r="E138" s="202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1"/>
      <c r="V138" s="1"/>
      <c r="W138" s="1"/>
      <c r="X138" s="1"/>
      <c r="Y138" s="1"/>
      <c r="Z138" s="1"/>
      <c r="AA138" s="1"/>
      <c r="AB138" s="1"/>
    </row>
    <row r="139" ht="13.5" customHeight="1">
      <c r="A139" s="97"/>
      <c r="B139" s="97"/>
      <c r="C139" s="97"/>
      <c r="D139" s="97"/>
      <c r="E139" s="202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1"/>
      <c r="V139" s="1"/>
      <c r="W139" s="1"/>
      <c r="X139" s="1"/>
      <c r="Y139" s="1"/>
      <c r="Z139" s="1"/>
      <c r="AA139" s="1"/>
      <c r="AB139" s="1"/>
    </row>
    <row r="140" ht="13.5" customHeight="1">
      <c r="A140" s="97"/>
      <c r="B140" s="97"/>
      <c r="C140" s="97"/>
      <c r="D140" s="97"/>
      <c r="E140" s="202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1"/>
      <c r="V140" s="1"/>
      <c r="W140" s="1"/>
      <c r="X140" s="1"/>
      <c r="Y140" s="1"/>
      <c r="Z140" s="1"/>
      <c r="AA140" s="1"/>
      <c r="AB140" s="1"/>
    </row>
    <row r="141" ht="13.5" customHeight="1">
      <c r="A141" s="97"/>
      <c r="B141" s="97"/>
      <c r="C141" s="97"/>
      <c r="D141" s="97"/>
      <c r="E141" s="202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1"/>
      <c r="V141" s="1"/>
      <c r="W141" s="1"/>
      <c r="X141" s="1"/>
      <c r="Y141" s="1"/>
      <c r="Z141" s="1"/>
      <c r="AA141" s="1"/>
      <c r="AB141" s="1"/>
    </row>
    <row r="142" ht="13.5" customHeight="1">
      <c r="A142" s="97"/>
      <c r="B142" s="97"/>
      <c r="C142" s="97"/>
      <c r="D142" s="97"/>
      <c r="E142" s="202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1"/>
      <c r="V142" s="1"/>
      <c r="W142" s="1"/>
      <c r="X142" s="1"/>
      <c r="Y142" s="1"/>
      <c r="Z142" s="1"/>
      <c r="AA142" s="1"/>
      <c r="AB142" s="1"/>
    </row>
    <row r="143" ht="13.5" customHeight="1">
      <c r="A143" s="97"/>
      <c r="B143" s="97"/>
      <c r="C143" s="97"/>
      <c r="D143" s="97"/>
      <c r="E143" s="202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1"/>
      <c r="V143" s="1"/>
      <c r="W143" s="1"/>
      <c r="X143" s="1"/>
      <c r="Y143" s="1"/>
      <c r="Z143" s="1"/>
      <c r="AA143" s="1"/>
      <c r="AB143" s="1"/>
    </row>
    <row r="144" ht="13.5" customHeight="1">
      <c r="A144" s="97"/>
      <c r="B144" s="97"/>
      <c r="C144" s="97"/>
      <c r="D144" s="97"/>
      <c r="E144" s="202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1"/>
      <c r="V144" s="1"/>
      <c r="W144" s="1"/>
      <c r="X144" s="1"/>
      <c r="Y144" s="1"/>
      <c r="Z144" s="1"/>
      <c r="AA144" s="1"/>
      <c r="AB144" s="1"/>
    </row>
    <row r="145" ht="13.5" customHeight="1">
      <c r="A145" s="97"/>
      <c r="B145" s="97"/>
      <c r="C145" s="97"/>
      <c r="D145" s="97"/>
      <c r="E145" s="202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1"/>
      <c r="V145" s="1"/>
      <c r="W145" s="1"/>
      <c r="X145" s="1"/>
      <c r="Y145" s="1"/>
      <c r="Z145" s="1"/>
      <c r="AA145" s="1"/>
      <c r="AB145" s="1"/>
    </row>
    <row r="146" ht="13.5" customHeight="1">
      <c r="A146" s="97"/>
      <c r="B146" s="97"/>
      <c r="C146" s="97"/>
      <c r="D146" s="97"/>
      <c r="E146" s="202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1"/>
      <c r="V146" s="1"/>
      <c r="W146" s="1"/>
      <c r="X146" s="1"/>
      <c r="Y146" s="1"/>
      <c r="Z146" s="1"/>
      <c r="AA146" s="1"/>
      <c r="AB146" s="1"/>
    </row>
    <row r="147" ht="13.5" customHeight="1">
      <c r="A147" s="97"/>
      <c r="B147" s="97"/>
      <c r="C147" s="97"/>
      <c r="D147" s="97"/>
      <c r="E147" s="202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1"/>
      <c r="V147" s="1"/>
      <c r="W147" s="1"/>
      <c r="X147" s="1"/>
      <c r="Y147" s="1"/>
      <c r="Z147" s="1"/>
      <c r="AA147" s="1"/>
      <c r="AB147" s="1"/>
    </row>
    <row r="148" ht="13.5" customHeight="1">
      <c r="A148" s="97"/>
      <c r="B148" s="97"/>
      <c r="C148" s="97"/>
      <c r="D148" s="97"/>
      <c r="E148" s="202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1"/>
      <c r="V148" s="1"/>
      <c r="W148" s="1"/>
      <c r="X148" s="1"/>
      <c r="Y148" s="1"/>
      <c r="Z148" s="1"/>
      <c r="AA148" s="1"/>
      <c r="AB148" s="1"/>
    </row>
    <row r="149" ht="13.5" customHeight="1">
      <c r="A149" s="97"/>
      <c r="B149" s="97"/>
      <c r="C149" s="97"/>
      <c r="D149" s="97"/>
      <c r="E149" s="202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1"/>
      <c r="V149" s="1"/>
      <c r="W149" s="1"/>
      <c r="X149" s="1"/>
      <c r="Y149" s="1"/>
      <c r="Z149" s="1"/>
      <c r="AA149" s="1"/>
      <c r="AB149" s="1"/>
    </row>
    <row r="150" ht="13.5" customHeight="1">
      <c r="A150" s="97"/>
      <c r="B150" s="97"/>
      <c r="C150" s="97"/>
      <c r="D150" s="97"/>
      <c r="E150" s="202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1"/>
      <c r="V150" s="1"/>
      <c r="W150" s="1"/>
      <c r="X150" s="1"/>
      <c r="Y150" s="1"/>
      <c r="Z150" s="1"/>
      <c r="AA150" s="1"/>
      <c r="AB150" s="1"/>
    </row>
    <row r="151" ht="13.5" customHeight="1">
      <c r="A151" s="97"/>
      <c r="B151" s="97"/>
      <c r="C151" s="97"/>
      <c r="D151" s="97"/>
      <c r="E151" s="202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1"/>
      <c r="V151" s="1"/>
      <c r="W151" s="1"/>
      <c r="X151" s="1"/>
      <c r="Y151" s="1"/>
      <c r="Z151" s="1"/>
      <c r="AA151" s="1"/>
      <c r="AB151" s="1"/>
    </row>
    <row r="152" ht="13.5" customHeight="1">
      <c r="A152" s="97"/>
      <c r="B152" s="97"/>
      <c r="C152" s="97"/>
      <c r="D152" s="97"/>
      <c r="E152" s="202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1"/>
      <c r="V152" s="1"/>
      <c r="W152" s="1"/>
      <c r="X152" s="1"/>
      <c r="Y152" s="1"/>
      <c r="Z152" s="1"/>
      <c r="AA152" s="1"/>
      <c r="AB152" s="1"/>
    </row>
    <row r="153" ht="13.5" customHeight="1">
      <c r="A153" s="97"/>
      <c r="B153" s="97"/>
      <c r="C153" s="97"/>
      <c r="D153" s="97"/>
      <c r="E153" s="202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1"/>
      <c r="V153" s="1"/>
      <c r="W153" s="1"/>
      <c r="X153" s="1"/>
      <c r="Y153" s="1"/>
      <c r="Z153" s="1"/>
      <c r="AA153" s="1"/>
      <c r="AB153" s="1"/>
    </row>
    <row r="154" ht="13.5" customHeight="1">
      <c r="A154" s="97"/>
      <c r="B154" s="97"/>
      <c r="C154" s="97"/>
      <c r="D154" s="97"/>
      <c r="E154" s="202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1"/>
      <c r="V154" s="1"/>
      <c r="W154" s="1"/>
      <c r="X154" s="1"/>
      <c r="Y154" s="1"/>
      <c r="Z154" s="1"/>
      <c r="AA154" s="1"/>
      <c r="AB154" s="1"/>
    </row>
    <row r="155" ht="13.5" customHeight="1">
      <c r="A155" s="97"/>
      <c r="B155" s="97"/>
      <c r="C155" s="97"/>
      <c r="D155" s="97"/>
      <c r="E155" s="202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1"/>
      <c r="V155" s="1"/>
      <c r="W155" s="1"/>
      <c r="X155" s="1"/>
      <c r="Y155" s="1"/>
      <c r="Z155" s="1"/>
      <c r="AA155" s="1"/>
      <c r="AB155" s="1"/>
    </row>
    <row r="156" ht="13.5" customHeight="1">
      <c r="A156" s="97"/>
      <c r="B156" s="97"/>
      <c r="C156" s="97"/>
      <c r="D156" s="97"/>
      <c r="E156" s="202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1"/>
      <c r="V156" s="1"/>
      <c r="W156" s="1"/>
      <c r="X156" s="1"/>
      <c r="Y156" s="1"/>
      <c r="Z156" s="1"/>
      <c r="AA156" s="1"/>
      <c r="AB156" s="1"/>
    </row>
    <row r="157" ht="13.5" customHeight="1">
      <c r="A157" s="97"/>
      <c r="B157" s="97"/>
      <c r="C157" s="97"/>
      <c r="D157" s="97"/>
      <c r="E157" s="202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1"/>
      <c r="V157" s="1"/>
      <c r="W157" s="1"/>
      <c r="X157" s="1"/>
      <c r="Y157" s="1"/>
      <c r="Z157" s="1"/>
      <c r="AA157" s="1"/>
      <c r="AB157" s="1"/>
    </row>
    <row r="158" ht="13.5" customHeight="1">
      <c r="A158" s="97"/>
      <c r="B158" s="97"/>
      <c r="C158" s="97"/>
      <c r="D158" s="97"/>
      <c r="E158" s="202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1"/>
      <c r="V158" s="1"/>
      <c r="W158" s="1"/>
      <c r="X158" s="1"/>
      <c r="Y158" s="1"/>
      <c r="Z158" s="1"/>
      <c r="AA158" s="1"/>
      <c r="AB158" s="1"/>
    </row>
    <row r="159" ht="13.5" customHeight="1">
      <c r="A159" s="97"/>
      <c r="B159" s="97"/>
      <c r="C159" s="97"/>
      <c r="D159" s="97"/>
      <c r="E159" s="202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1"/>
      <c r="V159" s="1"/>
      <c r="W159" s="1"/>
      <c r="X159" s="1"/>
      <c r="Y159" s="1"/>
      <c r="Z159" s="1"/>
      <c r="AA159" s="1"/>
      <c r="AB159" s="1"/>
    </row>
    <row r="160" ht="13.5" customHeight="1">
      <c r="A160" s="97"/>
      <c r="B160" s="97"/>
      <c r="C160" s="97"/>
      <c r="D160" s="97"/>
      <c r="E160" s="202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1"/>
      <c r="V160" s="1"/>
      <c r="W160" s="1"/>
      <c r="X160" s="1"/>
      <c r="Y160" s="1"/>
      <c r="Z160" s="1"/>
      <c r="AA160" s="1"/>
      <c r="AB160" s="1"/>
    </row>
    <row r="161" ht="13.5" customHeight="1">
      <c r="A161" s="97"/>
      <c r="B161" s="97"/>
      <c r="C161" s="97"/>
      <c r="D161" s="97"/>
      <c r="E161" s="202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1"/>
      <c r="V161" s="1"/>
      <c r="W161" s="1"/>
      <c r="X161" s="1"/>
      <c r="Y161" s="1"/>
      <c r="Z161" s="1"/>
      <c r="AA161" s="1"/>
      <c r="AB161" s="1"/>
    </row>
    <row r="162" ht="13.5" customHeight="1">
      <c r="A162" s="97"/>
      <c r="B162" s="97"/>
      <c r="C162" s="97"/>
      <c r="D162" s="97"/>
      <c r="E162" s="202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1"/>
      <c r="V162" s="1"/>
      <c r="W162" s="1"/>
      <c r="X162" s="1"/>
      <c r="Y162" s="1"/>
      <c r="Z162" s="1"/>
      <c r="AA162" s="1"/>
      <c r="AB162" s="1"/>
    </row>
    <row r="163" ht="13.5" customHeight="1">
      <c r="A163" s="97"/>
      <c r="B163" s="97"/>
      <c r="C163" s="97"/>
      <c r="D163" s="97"/>
      <c r="E163" s="202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1"/>
      <c r="V163" s="1"/>
      <c r="W163" s="1"/>
      <c r="X163" s="1"/>
      <c r="Y163" s="1"/>
      <c r="Z163" s="1"/>
      <c r="AA163" s="1"/>
      <c r="AB163" s="1"/>
    </row>
    <row r="164" ht="13.5" customHeight="1">
      <c r="A164" s="97"/>
      <c r="B164" s="97"/>
      <c r="C164" s="97"/>
      <c r="D164" s="97"/>
      <c r="E164" s="202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1"/>
      <c r="V164" s="1"/>
      <c r="W164" s="1"/>
      <c r="X164" s="1"/>
      <c r="Y164" s="1"/>
      <c r="Z164" s="1"/>
      <c r="AA164" s="1"/>
      <c r="AB164" s="1"/>
    </row>
    <row r="165" ht="13.5" customHeight="1">
      <c r="A165" s="97"/>
      <c r="B165" s="97"/>
      <c r="C165" s="97"/>
      <c r="D165" s="97"/>
      <c r="E165" s="202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1"/>
      <c r="V165" s="1"/>
      <c r="W165" s="1"/>
      <c r="X165" s="1"/>
      <c r="Y165" s="1"/>
      <c r="Z165" s="1"/>
      <c r="AA165" s="1"/>
      <c r="AB165" s="1"/>
    </row>
    <row r="166" ht="13.5" customHeight="1">
      <c r="A166" s="97"/>
      <c r="B166" s="97"/>
      <c r="C166" s="97"/>
      <c r="D166" s="97"/>
      <c r="E166" s="202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1"/>
      <c r="V166" s="1"/>
      <c r="W166" s="1"/>
      <c r="X166" s="1"/>
      <c r="Y166" s="1"/>
      <c r="Z166" s="1"/>
      <c r="AA166" s="1"/>
      <c r="AB166" s="1"/>
    </row>
    <row r="167" ht="13.5" customHeight="1">
      <c r="A167" s="97"/>
      <c r="B167" s="97"/>
      <c r="C167" s="97"/>
      <c r="D167" s="97"/>
      <c r="E167" s="202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1"/>
      <c r="V167" s="1"/>
      <c r="W167" s="1"/>
      <c r="X167" s="1"/>
      <c r="Y167" s="1"/>
      <c r="Z167" s="1"/>
      <c r="AA167" s="1"/>
      <c r="AB167" s="1"/>
    </row>
    <row r="168" ht="13.5" customHeight="1">
      <c r="A168" s="97"/>
      <c r="B168" s="97"/>
      <c r="C168" s="97"/>
      <c r="D168" s="97"/>
      <c r="E168" s="202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1"/>
      <c r="V168" s="1"/>
      <c r="W168" s="1"/>
      <c r="X168" s="1"/>
      <c r="Y168" s="1"/>
      <c r="Z168" s="1"/>
      <c r="AA168" s="1"/>
      <c r="AB168" s="1"/>
    </row>
    <row r="169" ht="13.5" customHeight="1">
      <c r="A169" s="97"/>
      <c r="B169" s="97"/>
      <c r="C169" s="97"/>
      <c r="D169" s="97"/>
      <c r="E169" s="202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1"/>
      <c r="V169" s="1"/>
      <c r="W169" s="1"/>
      <c r="X169" s="1"/>
      <c r="Y169" s="1"/>
      <c r="Z169" s="1"/>
      <c r="AA169" s="1"/>
      <c r="AB169" s="1"/>
    </row>
    <row r="170" ht="13.5" customHeight="1">
      <c r="A170" s="97"/>
      <c r="B170" s="97"/>
      <c r="C170" s="97"/>
      <c r="D170" s="97"/>
      <c r="E170" s="202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1"/>
      <c r="V170" s="1"/>
      <c r="W170" s="1"/>
      <c r="X170" s="1"/>
      <c r="Y170" s="1"/>
      <c r="Z170" s="1"/>
      <c r="AA170" s="1"/>
      <c r="AB170" s="1"/>
    </row>
    <row r="171" ht="13.5" customHeight="1">
      <c r="A171" s="97"/>
      <c r="B171" s="97"/>
      <c r="C171" s="97"/>
      <c r="D171" s="97"/>
      <c r="E171" s="202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1"/>
      <c r="V171" s="1"/>
      <c r="W171" s="1"/>
      <c r="X171" s="1"/>
      <c r="Y171" s="1"/>
      <c r="Z171" s="1"/>
      <c r="AA171" s="1"/>
      <c r="AB171" s="1"/>
    </row>
    <row r="172" ht="13.5" customHeight="1">
      <c r="A172" s="97"/>
      <c r="B172" s="97"/>
      <c r="C172" s="97"/>
      <c r="D172" s="97"/>
      <c r="E172" s="202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1"/>
      <c r="V172" s="1"/>
      <c r="W172" s="1"/>
      <c r="X172" s="1"/>
      <c r="Y172" s="1"/>
      <c r="Z172" s="1"/>
      <c r="AA172" s="1"/>
      <c r="AB172" s="1"/>
    </row>
    <row r="173" ht="13.5" customHeight="1">
      <c r="A173" s="97"/>
      <c r="B173" s="97"/>
      <c r="C173" s="97"/>
      <c r="D173" s="97"/>
      <c r="E173" s="202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1"/>
      <c r="V173" s="1"/>
      <c r="W173" s="1"/>
      <c r="X173" s="1"/>
      <c r="Y173" s="1"/>
      <c r="Z173" s="1"/>
      <c r="AA173" s="1"/>
      <c r="AB173" s="1"/>
    </row>
    <row r="174" ht="13.5" customHeight="1">
      <c r="A174" s="97"/>
      <c r="B174" s="97"/>
      <c r="C174" s="97"/>
      <c r="D174" s="97"/>
      <c r="E174" s="202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1"/>
      <c r="V174" s="1"/>
      <c r="W174" s="1"/>
      <c r="X174" s="1"/>
      <c r="Y174" s="1"/>
      <c r="Z174" s="1"/>
      <c r="AA174" s="1"/>
      <c r="AB174" s="1"/>
    </row>
    <row r="175" ht="13.5" customHeight="1">
      <c r="A175" s="97"/>
      <c r="B175" s="97"/>
      <c r="C175" s="97"/>
      <c r="D175" s="97"/>
      <c r="E175" s="202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1"/>
      <c r="V175" s="1"/>
      <c r="W175" s="1"/>
      <c r="X175" s="1"/>
      <c r="Y175" s="1"/>
      <c r="Z175" s="1"/>
      <c r="AA175" s="1"/>
      <c r="AB175" s="1"/>
    </row>
    <row r="176" ht="13.5" customHeight="1">
      <c r="A176" s="97"/>
      <c r="B176" s="97"/>
      <c r="C176" s="97"/>
      <c r="D176" s="97"/>
      <c r="E176" s="202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1"/>
      <c r="V176" s="1"/>
      <c r="W176" s="1"/>
      <c r="X176" s="1"/>
      <c r="Y176" s="1"/>
      <c r="Z176" s="1"/>
      <c r="AA176" s="1"/>
      <c r="AB176" s="1"/>
    </row>
    <row r="177" ht="13.5" customHeight="1">
      <c r="A177" s="97"/>
      <c r="B177" s="97"/>
      <c r="C177" s="97"/>
      <c r="D177" s="97"/>
      <c r="E177" s="202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1"/>
      <c r="V177" s="1"/>
      <c r="W177" s="1"/>
      <c r="X177" s="1"/>
      <c r="Y177" s="1"/>
      <c r="Z177" s="1"/>
      <c r="AA177" s="1"/>
      <c r="AB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</sheetData>
  <mergeCells count="4">
    <mergeCell ref="D1:Q1"/>
    <mergeCell ref="D46:Q46"/>
    <mergeCell ref="C35:C38"/>
    <mergeCell ref="C79:C82"/>
  </mergeCell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1.22" defaultRowHeight="15.0"/>
  <cols>
    <col customWidth="1" min="1" max="1" width="13.44"/>
    <col customWidth="1" min="2" max="3" width="0.33"/>
    <col customWidth="1" min="4" max="4" width="34.22"/>
    <col customWidth="1" min="5" max="6" width="10.44"/>
    <col customWidth="1" min="7" max="7" width="11.22"/>
    <col customWidth="1" min="8" max="11" width="10.44"/>
    <col customWidth="1" min="12" max="12" width="11.89"/>
    <col customWidth="1" min="13" max="13" width="11.22"/>
    <col customWidth="1" min="14" max="15" width="11.67"/>
    <col customWidth="1" min="16" max="16" width="11.89"/>
    <col customWidth="1" min="17" max="38" width="13.44"/>
  </cols>
  <sheetData>
    <row r="1">
      <c r="A1" s="194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6"/>
      <c r="Q1" s="198" t="s">
        <v>137</v>
      </c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194"/>
      <c r="AD1" s="194"/>
      <c r="AE1" s="194"/>
      <c r="AF1" s="194"/>
      <c r="AG1" s="194"/>
      <c r="AH1" s="194"/>
      <c r="AI1" s="194"/>
      <c r="AJ1" s="194"/>
      <c r="AK1" s="194"/>
      <c r="AL1" s="194"/>
    </row>
    <row r="2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6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</row>
    <row r="3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6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194"/>
      <c r="AD3" s="194"/>
      <c r="AE3" s="194"/>
      <c r="AF3" s="194"/>
      <c r="AG3" s="194"/>
      <c r="AH3" s="194"/>
      <c r="AI3" s="194"/>
      <c r="AJ3" s="194"/>
      <c r="AK3" s="194"/>
      <c r="AL3" s="194"/>
    </row>
    <row r="4">
      <c r="A4" s="194"/>
      <c r="B4" s="194"/>
      <c r="C4" s="194"/>
      <c r="D4" s="203"/>
      <c r="E4" s="205">
        <v>42370.0</v>
      </c>
      <c r="F4" s="205">
        <v>42401.0</v>
      </c>
      <c r="G4" s="205">
        <v>42430.0</v>
      </c>
      <c r="H4" s="205">
        <v>42461.0</v>
      </c>
      <c r="I4" s="205">
        <v>42491.0</v>
      </c>
      <c r="J4" s="205">
        <v>42522.0</v>
      </c>
      <c r="K4" s="205">
        <v>42552.0</v>
      </c>
      <c r="L4" s="205">
        <v>42583.0</v>
      </c>
      <c r="M4" s="205">
        <v>42614.0</v>
      </c>
      <c r="N4" s="205">
        <v>42644.0</v>
      </c>
      <c r="O4" s="205">
        <v>42675.0</v>
      </c>
      <c r="P4" s="207">
        <v>42705.0</v>
      </c>
      <c r="Q4" s="205">
        <v>42736.0</v>
      </c>
      <c r="R4" s="205">
        <v>42767.0</v>
      </c>
      <c r="S4" s="205">
        <v>42795.0</v>
      </c>
      <c r="T4" s="205">
        <v>42826.0</v>
      </c>
      <c r="U4" s="205">
        <v>42856.0</v>
      </c>
      <c r="V4" s="205">
        <v>42887.0</v>
      </c>
      <c r="W4" s="205">
        <v>42917.0</v>
      </c>
      <c r="X4" s="205">
        <v>42948.0</v>
      </c>
      <c r="Y4" s="205">
        <v>42979.0</v>
      </c>
      <c r="Z4" s="205">
        <v>43009.0</v>
      </c>
      <c r="AA4" s="205">
        <v>43040.0</v>
      </c>
      <c r="AB4" s="205">
        <v>43070.0</v>
      </c>
      <c r="AC4" s="194"/>
      <c r="AD4" s="194"/>
      <c r="AE4" s="194"/>
      <c r="AF4" s="194"/>
      <c r="AG4" s="194"/>
      <c r="AH4" s="194"/>
      <c r="AI4" s="194"/>
      <c r="AJ4" s="194"/>
      <c r="AK4" s="194"/>
      <c r="AL4" s="194"/>
    </row>
    <row r="5">
      <c r="A5" s="194"/>
      <c r="B5" s="194"/>
      <c r="C5" s="194"/>
      <c r="D5" s="211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213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194"/>
      <c r="AD5" s="194"/>
      <c r="AE5" s="194"/>
      <c r="AF5" s="194"/>
      <c r="AG5" s="194"/>
      <c r="AH5" s="194"/>
      <c r="AI5" s="194"/>
      <c r="AJ5" s="194"/>
      <c r="AK5" s="194"/>
      <c r="AL5" s="194"/>
    </row>
    <row r="6">
      <c r="A6" s="194"/>
      <c r="B6" s="194"/>
      <c r="C6" s="203"/>
      <c r="D6" s="214" t="s">
        <v>139</v>
      </c>
      <c r="E6" s="216">
        <v>2200.0</v>
      </c>
      <c r="F6" s="218">
        <f t="shared" ref="F6:AB6" si="1">E62</f>
        <v>2942.19</v>
      </c>
      <c r="G6" s="218">
        <f t="shared" si="1"/>
        <v>3747.38</v>
      </c>
      <c r="H6" s="218">
        <f t="shared" si="1"/>
        <v>4982.64</v>
      </c>
      <c r="I6" s="218">
        <f t="shared" si="1"/>
        <v>5495.96</v>
      </c>
      <c r="J6" s="218">
        <f t="shared" si="1"/>
        <v>5959.01</v>
      </c>
      <c r="K6" s="218">
        <f t="shared" si="1"/>
        <v>5939.41</v>
      </c>
      <c r="L6" s="218">
        <f t="shared" si="1"/>
        <v>5477.35</v>
      </c>
      <c r="M6" s="218">
        <f t="shared" si="1"/>
        <v>4128.03</v>
      </c>
      <c r="N6" s="218">
        <f t="shared" si="1"/>
        <v>8177.7</v>
      </c>
      <c r="O6" s="218">
        <f t="shared" si="1"/>
        <v>10637.02</v>
      </c>
      <c r="P6" s="219">
        <f t="shared" si="1"/>
        <v>12741.38</v>
      </c>
      <c r="Q6" s="218">
        <f t="shared" si="1"/>
        <v>4113.22</v>
      </c>
      <c r="R6" s="218">
        <f t="shared" si="1"/>
        <v>21197.68229</v>
      </c>
      <c r="S6" s="218">
        <f t="shared" si="1"/>
        <v>24077.59458</v>
      </c>
      <c r="T6" s="218">
        <f t="shared" si="1"/>
        <v>28858.24688</v>
      </c>
      <c r="U6" s="218">
        <f t="shared" si="1"/>
        <v>25959.09917</v>
      </c>
      <c r="V6" s="218">
        <f t="shared" si="1"/>
        <v>28339.45146</v>
      </c>
      <c r="W6" s="218">
        <f t="shared" si="1"/>
        <v>31907.50375</v>
      </c>
      <c r="X6" s="218">
        <f t="shared" si="1"/>
        <v>29459.85604</v>
      </c>
      <c r="Y6" s="218">
        <f t="shared" si="1"/>
        <v>27025.20833</v>
      </c>
      <c r="Z6" s="218">
        <f t="shared" si="1"/>
        <v>26593.56063</v>
      </c>
      <c r="AA6" s="218">
        <f t="shared" si="1"/>
        <v>24729.41292</v>
      </c>
      <c r="AB6" s="221">
        <f t="shared" si="1"/>
        <v>22597.76521</v>
      </c>
      <c r="AC6" s="194"/>
      <c r="AD6" s="194"/>
      <c r="AE6" s="194"/>
      <c r="AF6" s="194"/>
      <c r="AG6" s="194"/>
      <c r="AH6" s="194"/>
      <c r="AI6" s="194"/>
      <c r="AJ6" s="194"/>
      <c r="AK6" s="194"/>
      <c r="AL6" s="194"/>
    </row>
    <row r="7">
      <c r="A7" s="194"/>
      <c r="B7" s="194"/>
      <c r="C7" s="203"/>
      <c r="D7" s="222" t="s">
        <v>141</v>
      </c>
      <c r="E7" s="223"/>
      <c r="Q7" s="223"/>
      <c r="AC7" s="194"/>
      <c r="AD7" s="194"/>
      <c r="AE7" s="194"/>
      <c r="AF7" s="194"/>
      <c r="AG7" s="194"/>
      <c r="AH7" s="194"/>
      <c r="AI7" s="194"/>
      <c r="AJ7" s="194"/>
      <c r="AK7" s="194"/>
      <c r="AL7" s="194"/>
    </row>
    <row r="8">
      <c r="A8" s="194"/>
      <c r="B8" s="194"/>
      <c r="C8" s="203"/>
      <c r="D8" s="224" t="s">
        <v>142</v>
      </c>
      <c r="AC8" s="194"/>
      <c r="AD8" s="194"/>
      <c r="AE8" s="194"/>
      <c r="AF8" s="194"/>
      <c r="AG8" s="194"/>
      <c r="AH8" s="194"/>
      <c r="AI8" s="194"/>
      <c r="AJ8" s="194"/>
      <c r="AK8" s="194"/>
      <c r="AL8" s="194"/>
    </row>
    <row r="9">
      <c r="A9" s="194"/>
      <c r="B9" s="194"/>
      <c r="C9" s="203"/>
      <c r="D9" s="225" t="s">
        <v>144</v>
      </c>
      <c r="E9" s="226">
        <f>'Prévisionnel 2017 SCN1'!F5</f>
        <v>2608.48</v>
      </c>
      <c r="F9" s="226">
        <f>'Prévisionnel 2017 SCN1'!G5</f>
        <v>2513.98</v>
      </c>
      <c r="G9" s="226">
        <f>'Prévisionnel 2017 SCN1'!H5</f>
        <v>3156.25</v>
      </c>
      <c r="H9" s="226">
        <f>'Prévisionnel 2017 SCN1'!I5</f>
        <v>3298.36</v>
      </c>
      <c r="I9" s="226">
        <f>'Prévisionnel 2017 SCN1'!J5</f>
        <v>3691.36</v>
      </c>
      <c r="J9" s="226">
        <f>'Prévisionnel 2017 SCN1'!K5</f>
        <v>4474.97</v>
      </c>
      <c r="K9" s="226">
        <f>'Prévisionnel 2017 SCN1'!L5</f>
        <v>2165.35</v>
      </c>
      <c r="L9" s="226">
        <f>'Prévisionnel 2017 SCN1'!M5</f>
        <v>2912.29</v>
      </c>
      <c r="M9" s="226">
        <f>'Prévisionnel 2017 SCN1'!N5</f>
        <v>5720.98</v>
      </c>
      <c r="N9" s="226">
        <f>'Prévisionnel 2017 SCN1'!O5</f>
        <v>5947.19</v>
      </c>
      <c r="O9" s="226">
        <f>'Prévisionnel 2017 SCN1'!P5</f>
        <v>8590.02</v>
      </c>
      <c r="P9" s="232">
        <f>'Prévisionnel 2017 SCN1'!Q5</f>
        <v>11401.95</v>
      </c>
      <c r="Q9" s="234">
        <f>'Prévisionnel 2017 SCN1'!F49</f>
        <v>9467.85</v>
      </c>
      <c r="R9" s="195">
        <f>'Prévisionnel 2017 SCN1'!G49</f>
        <v>19039.78</v>
      </c>
      <c r="S9" s="195">
        <f>'Prévisionnel 2017 SCN1'!H49</f>
        <v>23649.88</v>
      </c>
      <c r="T9" s="195">
        <f>'Prévisionnel 2017 SCN1'!I49</f>
        <v>25000</v>
      </c>
      <c r="U9" s="195">
        <f>'Prévisionnel 2017 SCN1'!J49</f>
        <v>25000</v>
      </c>
      <c r="V9" s="195">
        <f>'Prévisionnel 2017 SCN1'!K49</f>
        <v>25000</v>
      </c>
      <c r="W9" s="195">
        <f>'Prévisionnel 2017 SCN1'!L49</f>
        <v>0</v>
      </c>
      <c r="X9" s="195">
        <f>'Prévisionnel 2017 SCN1'!M49</f>
        <v>0</v>
      </c>
      <c r="Y9" s="195">
        <f>'Prévisionnel 2017 SCN1'!N49</f>
        <v>0</v>
      </c>
      <c r="Z9" s="195">
        <f>'Prévisionnel 2017 SCN1'!O49</f>
        <v>0</v>
      </c>
      <c r="AA9" s="195">
        <f>'Prévisionnel 2017 SCN1'!P49</f>
        <v>0</v>
      </c>
      <c r="AB9" s="195">
        <f>'Prévisionnel 2017 SCN1'!Q49</f>
        <v>0</v>
      </c>
      <c r="AC9" s="194"/>
      <c r="AD9" s="194"/>
      <c r="AE9" s="194"/>
      <c r="AF9" s="194"/>
      <c r="AG9" s="194"/>
      <c r="AH9" s="194"/>
      <c r="AI9" s="194"/>
      <c r="AJ9" s="194"/>
      <c r="AK9" s="194"/>
      <c r="AL9" s="194"/>
    </row>
    <row r="10">
      <c r="A10" s="194"/>
      <c r="B10" s="194"/>
      <c r="C10" s="203"/>
      <c r="D10" s="238" t="s">
        <v>147</v>
      </c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32"/>
      <c r="Q10" s="14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</row>
    <row r="11">
      <c r="A11" s="194"/>
      <c r="B11" s="194"/>
      <c r="C11" s="203"/>
      <c r="D11" s="241" t="s">
        <v>148</v>
      </c>
      <c r="E11" s="226">
        <f t="shared" ref="E11:AB11" si="2">SUM(E9:E10)</f>
        <v>2608.48</v>
      </c>
      <c r="F11" s="226">
        <f t="shared" si="2"/>
        <v>2513.98</v>
      </c>
      <c r="G11" s="226">
        <f t="shared" si="2"/>
        <v>3156.25</v>
      </c>
      <c r="H11" s="226">
        <f t="shared" si="2"/>
        <v>3298.36</v>
      </c>
      <c r="I11" s="226">
        <f t="shared" si="2"/>
        <v>3691.36</v>
      </c>
      <c r="J11" s="226">
        <f t="shared" si="2"/>
        <v>4474.97</v>
      </c>
      <c r="K11" s="226">
        <f t="shared" si="2"/>
        <v>2165.35</v>
      </c>
      <c r="L11" s="226">
        <f t="shared" si="2"/>
        <v>2912.29</v>
      </c>
      <c r="M11" s="226">
        <f t="shared" si="2"/>
        <v>5720.98</v>
      </c>
      <c r="N11" s="226">
        <f t="shared" si="2"/>
        <v>5947.19</v>
      </c>
      <c r="O11" s="226">
        <f t="shared" si="2"/>
        <v>8590.02</v>
      </c>
      <c r="P11" s="232">
        <f t="shared" si="2"/>
        <v>11401.95</v>
      </c>
      <c r="Q11" s="244">
        <f t="shared" si="2"/>
        <v>9467.85</v>
      </c>
      <c r="R11" s="245">
        <f t="shared" si="2"/>
        <v>19039.78</v>
      </c>
      <c r="S11" s="245">
        <f t="shared" si="2"/>
        <v>23649.88</v>
      </c>
      <c r="T11" s="245">
        <f t="shared" si="2"/>
        <v>25000</v>
      </c>
      <c r="U11" s="245">
        <f t="shared" si="2"/>
        <v>25000</v>
      </c>
      <c r="V11" s="245">
        <f t="shared" si="2"/>
        <v>25000</v>
      </c>
      <c r="W11" s="245">
        <f t="shared" si="2"/>
        <v>0</v>
      </c>
      <c r="X11" s="245">
        <f t="shared" si="2"/>
        <v>0</v>
      </c>
      <c r="Y11" s="245">
        <f t="shared" si="2"/>
        <v>0</v>
      </c>
      <c r="Z11" s="245">
        <f t="shared" si="2"/>
        <v>0</v>
      </c>
      <c r="AA11" s="245">
        <f t="shared" si="2"/>
        <v>0</v>
      </c>
      <c r="AB11" s="245">
        <f t="shared" si="2"/>
        <v>0</v>
      </c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</row>
    <row r="12">
      <c r="A12" s="194"/>
      <c r="B12" s="194"/>
      <c r="C12" s="203"/>
      <c r="D12" s="224" t="s">
        <v>152</v>
      </c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7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8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</row>
    <row r="13">
      <c r="A13" s="194"/>
      <c r="B13" s="194"/>
      <c r="C13" s="203"/>
      <c r="D13" s="225" t="s">
        <v>153</v>
      </c>
      <c r="E13" s="226"/>
      <c r="F13" s="226"/>
      <c r="G13" s="226"/>
      <c r="H13" s="226"/>
      <c r="I13" s="226"/>
      <c r="J13" s="226"/>
      <c r="K13" s="226"/>
      <c r="L13" s="226"/>
      <c r="M13" s="226">
        <f>'Prévisionnel 2017 SCN1'!N8</f>
        <v>2400</v>
      </c>
      <c r="N13" s="226">
        <f>'Prévisionnel 2017 SCN1'!O8</f>
        <v>2639.9</v>
      </c>
      <c r="O13" s="226">
        <f>'Prévisionnel 2017 SCN1'!P8</f>
        <v>1319.95</v>
      </c>
      <c r="P13" s="232">
        <f>'Prévisionnel 2017 SCN1'!Q8</f>
        <v>1319.95</v>
      </c>
      <c r="Q13" s="234">
        <f>'Prévisionnel 2017 SCN1'!F52</f>
        <v>1332.24</v>
      </c>
      <c r="R13" s="195">
        <f>'Prévisionnel 2017 SCN1'!G52</f>
        <v>1332.24</v>
      </c>
      <c r="S13" s="195">
        <f>'Prévisionnel 2017 SCN1'!H52</f>
        <v>1332.24</v>
      </c>
      <c r="T13" s="195">
        <f>'Prévisionnel 2017 SCN1'!I52</f>
        <v>2664.48</v>
      </c>
      <c r="U13" s="195">
        <f>'Prévisionnel 2017 SCN1'!J52</f>
        <v>2664.48</v>
      </c>
      <c r="V13" s="195">
        <f>'Prévisionnel 2017 SCN1'!K52</f>
        <v>2664.48</v>
      </c>
      <c r="W13" s="195">
        <f>'Prévisionnel 2017 SCN1'!L52</f>
        <v>2664.48</v>
      </c>
      <c r="X13" s="195">
        <f>'Prévisionnel 2017 SCN1'!M52</f>
        <v>2664.48</v>
      </c>
      <c r="Y13" s="195">
        <f>'Prévisionnel 2017 SCN1'!N52</f>
        <v>2664.48</v>
      </c>
      <c r="Z13" s="195">
        <f>'Prévisionnel 2017 SCN1'!O52</f>
        <v>2664.48</v>
      </c>
      <c r="AA13" s="195">
        <f>'Prévisionnel 2017 SCN1'!P52</f>
        <v>2664.48</v>
      </c>
      <c r="AB13" s="195">
        <f>'Prévisionnel 2017 SCN1'!Q52</f>
        <v>2664.48</v>
      </c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</row>
    <row r="14">
      <c r="A14" s="194"/>
      <c r="B14" s="194"/>
      <c r="C14" s="203"/>
      <c r="D14" s="249" t="s">
        <v>154</v>
      </c>
      <c r="E14" s="226">
        <f>'Prévisionnel 2017 SCN1'!F7</f>
        <v>0</v>
      </c>
      <c r="F14" s="226">
        <f>'Prévisionnel 2017 SCN1'!G7</f>
        <v>45</v>
      </c>
      <c r="G14" s="226">
        <f>'Prévisionnel 2017 SCN1'!H7</f>
        <v>40</v>
      </c>
      <c r="H14" s="226">
        <f>'Prévisionnel 2017 SCN1'!I7</f>
        <v>90</v>
      </c>
      <c r="I14" s="226">
        <f>'Prévisionnel 2017 SCN1'!J7</f>
        <v>50</v>
      </c>
      <c r="J14" s="226">
        <f>'Prévisionnel 2017 SCN1'!K7</f>
        <v>45</v>
      </c>
      <c r="K14" s="226">
        <f>'Prévisionnel 2017 SCN1'!L7</f>
        <v>0</v>
      </c>
      <c r="L14" s="226">
        <f>'Prévisionnel 2017 SCN1'!M7</f>
        <v>20</v>
      </c>
      <c r="M14" s="226">
        <f>'Prévisionnel 2017 SCN1'!N7</f>
        <v>105</v>
      </c>
      <c r="N14" s="226">
        <f>'Prévisionnel 2017 SCN1'!O7</f>
        <v>25</v>
      </c>
      <c r="O14" s="226">
        <f>'Prévisionnel 2017 SCN1'!P7</f>
        <v>185</v>
      </c>
      <c r="P14" s="232">
        <f>'Prévisionnel 2017 SCN1'!Q7</f>
        <v>30</v>
      </c>
      <c r="Q14" s="250">
        <f>'Prévisionnel 2017 SCN1'!F51</f>
        <v>23113</v>
      </c>
      <c r="R14" s="251">
        <f>'Prévisionnel 2017 SCN1'!G51</f>
        <v>80</v>
      </c>
      <c r="S14" s="251">
        <f>'Prévisionnel 2017 SCN1'!H51</f>
        <v>35</v>
      </c>
      <c r="T14" s="251">
        <f>'Prévisionnel 2017 SCN1'!I51</f>
        <v>65</v>
      </c>
      <c r="U14" s="251">
        <f>'Prévisionnel 2017 SCN1'!J51</f>
        <v>65</v>
      </c>
      <c r="V14" s="251">
        <f>'Prévisionnel 2017 SCN1'!K51</f>
        <v>65</v>
      </c>
      <c r="W14" s="251">
        <f>'Prévisionnel 2017 SCN1'!L51</f>
        <v>65</v>
      </c>
      <c r="X14" s="251">
        <f>'Prévisionnel 2017 SCN1'!M51</f>
        <v>65</v>
      </c>
      <c r="Y14" s="251">
        <f>'Prévisionnel 2017 SCN1'!N51</f>
        <v>65</v>
      </c>
      <c r="Z14" s="251">
        <f>'Prévisionnel 2017 SCN1'!O51</f>
        <v>65</v>
      </c>
      <c r="AA14" s="251">
        <f>'Prévisionnel 2017 SCN1'!P51</f>
        <v>65</v>
      </c>
      <c r="AB14" s="251">
        <f>'Prévisionnel 2017 SCN1'!Q51</f>
        <v>65</v>
      </c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</row>
    <row r="15">
      <c r="A15" s="194"/>
      <c r="B15" s="194"/>
      <c r="C15" s="203"/>
      <c r="D15" s="249" t="s">
        <v>24</v>
      </c>
      <c r="E15" s="226">
        <f>'Prévisionnel 2017 SCN1'!F6</f>
        <v>260</v>
      </c>
      <c r="F15" s="226">
        <f>'Prévisionnel 2017 SCN1'!G6</f>
        <v>940</v>
      </c>
      <c r="G15" s="226">
        <f>'Prévisionnel 2017 SCN1'!H6</f>
        <v>805</v>
      </c>
      <c r="H15" s="226">
        <f>'Prévisionnel 2017 SCN1'!I6</f>
        <v>735</v>
      </c>
      <c r="I15" s="226">
        <f>'Prévisionnel 2017 SCN1'!J6</f>
        <v>415</v>
      </c>
      <c r="J15" s="226">
        <f>'Prévisionnel 2017 SCN1'!K6</f>
        <v>435</v>
      </c>
      <c r="K15" s="226">
        <f>'Prévisionnel 2017 SCN1'!L6</f>
        <v>205</v>
      </c>
      <c r="L15" s="226">
        <f>'Prévisionnel 2017 SCN1'!M6</f>
        <v>235</v>
      </c>
      <c r="M15" s="226">
        <f>'Prévisionnel 2017 SCN1'!N6</f>
        <v>1115</v>
      </c>
      <c r="N15" s="226">
        <f>'Prévisionnel 2017 SCN1'!O6</f>
        <v>1580</v>
      </c>
      <c r="O15" s="226">
        <f>'Prévisionnel 2017 SCN1'!P6</f>
        <v>3210</v>
      </c>
      <c r="P15" s="232">
        <f>'Prévisionnel 2017 SCN1'!Q6</f>
        <v>1445</v>
      </c>
      <c r="Q15" s="234">
        <f>'Prévisionnel 2017 SCN1'!F50</f>
        <v>1565</v>
      </c>
      <c r="R15" s="195">
        <f>'Prévisionnel 2017 SCN1'!G50</f>
        <v>2440</v>
      </c>
      <c r="S15" s="195">
        <f>'Prévisionnel 2017 SCN1'!H50</f>
        <v>2790</v>
      </c>
      <c r="T15" s="195">
        <f>'Prévisionnel 2017 SCN1'!I50</f>
        <v>1982.8</v>
      </c>
      <c r="U15" s="195">
        <f>'Prévisionnel 2017 SCN1'!J50</f>
        <v>579.3</v>
      </c>
      <c r="V15" s="195">
        <f>'Prévisionnel 2017 SCN1'!K50</f>
        <v>400</v>
      </c>
      <c r="W15" s="195">
        <f>'Prévisionnel 2017 SCN1'!L50</f>
        <v>579.3</v>
      </c>
      <c r="X15" s="195">
        <f>'Prévisionnel 2017 SCN1'!M50</f>
        <v>579.3</v>
      </c>
      <c r="Y15" s="195">
        <f>'Prévisionnel 2017 SCN1'!N50</f>
        <v>579.3</v>
      </c>
      <c r="Z15" s="195">
        <f>'Prévisionnel 2017 SCN1'!O50</f>
        <v>1667.8</v>
      </c>
      <c r="AA15" s="195">
        <f>'Prévisionnel 2017 SCN1'!P50</f>
        <v>579.3</v>
      </c>
      <c r="AB15" s="195">
        <f>'Prévisionnel 2017 SCN1'!Q50</f>
        <v>579.3</v>
      </c>
      <c r="AC15" s="41"/>
      <c r="AD15" s="41"/>
      <c r="AE15" s="41"/>
      <c r="AF15" s="41"/>
      <c r="AG15" s="41"/>
      <c r="AH15" s="41"/>
      <c r="AI15" s="41"/>
      <c r="AJ15" s="41"/>
      <c r="AK15" s="41"/>
      <c r="AL15" s="194"/>
    </row>
    <row r="16">
      <c r="A16" s="194"/>
      <c r="B16" s="194"/>
      <c r="C16" s="203"/>
      <c r="D16" s="253" t="s">
        <v>156</v>
      </c>
      <c r="E16" s="254">
        <f t="shared" ref="E16:AB16" si="3">SUM(E13:E15)</f>
        <v>260</v>
      </c>
      <c r="F16" s="254">
        <f t="shared" si="3"/>
        <v>985</v>
      </c>
      <c r="G16" s="254">
        <f t="shared" si="3"/>
        <v>845</v>
      </c>
      <c r="H16" s="254">
        <f t="shared" si="3"/>
        <v>825</v>
      </c>
      <c r="I16" s="254">
        <f t="shared" si="3"/>
        <v>465</v>
      </c>
      <c r="J16" s="254">
        <f t="shared" si="3"/>
        <v>480</v>
      </c>
      <c r="K16" s="254">
        <f t="shared" si="3"/>
        <v>205</v>
      </c>
      <c r="L16" s="254">
        <f t="shared" si="3"/>
        <v>255</v>
      </c>
      <c r="M16" s="254">
        <f t="shared" si="3"/>
        <v>3620</v>
      </c>
      <c r="N16" s="254">
        <f t="shared" si="3"/>
        <v>4244.9</v>
      </c>
      <c r="O16" s="254">
        <f t="shared" si="3"/>
        <v>4714.95</v>
      </c>
      <c r="P16" s="255">
        <f t="shared" si="3"/>
        <v>2794.95</v>
      </c>
      <c r="Q16" s="234">
        <f t="shared" si="3"/>
        <v>26010.24</v>
      </c>
      <c r="R16" s="195">
        <f t="shared" si="3"/>
        <v>3852.24</v>
      </c>
      <c r="S16" s="195">
        <f t="shared" si="3"/>
        <v>4157.24</v>
      </c>
      <c r="T16" s="195">
        <f t="shared" si="3"/>
        <v>4712.28</v>
      </c>
      <c r="U16" s="195">
        <f t="shared" si="3"/>
        <v>3308.78</v>
      </c>
      <c r="V16" s="195">
        <f t="shared" si="3"/>
        <v>3129.48</v>
      </c>
      <c r="W16" s="195">
        <f t="shared" si="3"/>
        <v>3308.78</v>
      </c>
      <c r="X16" s="195">
        <f t="shared" si="3"/>
        <v>3308.78</v>
      </c>
      <c r="Y16" s="195">
        <f t="shared" si="3"/>
        <v>3308.78</v>
      </c>
      <c r="Z16" s="195">
        <f t="shared" si="3"/>
        <v>4397.28</v>
      </c>
      <c r="AA16" s="195">
        <f t="shared" si="3"/>
        <v>3308.78</v>
      </c>
      <c r="AB16" s="195">
        <f t="shared" si="3"/>
        <v>3308.78</v>
      </c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</row>
    <row r="17">
      <c r="A17" s="194"/>
      <c r="B17" s="194"/>
      <c r="C17" s="203"/>
      <c r="D17" s="256" t="s">
        <v>157</v>
      </c>
      <c r="E17" s="257">
        <f t="shared" ref="E17:AB17" si="4">E11+E16</f>
        <v>2868.48</v>
      </c>
      <c r="F17" s="257">
        <f t="shared" si="4"/>
        <v>3498.98</v>
      </c>
      <c r="G17" s="257">
        <f t="shared" si="4"/>
        <v>4001.25</v>
      </c>
      <c r="H17" s="257">
        <f t="shared" si="4"/>
        <v>4123.36</v>
      </c>
      <c r="I17" s="257">
        <f t="shared" si="4"/>
        <v>4156.36</v>
      </c>
      <c r="J17" s="257">
        <f t="shared" si="4"/>
        <v>4954.97</v>
      </c>
      <c r="K17" s="257">
        <f t="shared" si="4"/>
        <v>2370.35</v>
      </c>
      <c r="L17" s="257">
        <f t="shared" si="4"/>
        <v>3167.29</v>
      </c>
      <c r="M17" s="257">
        <f t="shared" si="4"/>
        <v>9340.98</v>
      </c>
      <c r="N17" s="257">
        <f t="shared" si="4"/>
        <v>10192.09</v>
      </c>
      <c r="O17" s="257">
        <f t="shared" si="4"/>
        <v>13304.97</v>
      </c>
      <c r="P17" s="258">
        <f t="shared" si="4"/>
        <v>14196.9</v>
      </c>
      <c r="Q17" s="257">
        <f t="shared" si="4"/>
        <v>35478.09</v>
      </c>
      <c r="R17" s="257">
        <f t="shared" si="4"/>
        <v>22892.02</v>
      </c>
      <c r="S17" s="257">
        <f t="shared" si="4"/>
        <v>27807.12</v>
      </c>
      <c r="T17" s="257">
        <f t="shared" si="4"/>
        <v>29712.28</v>
      </c>
      <c r="U17" s="257">
        <f t="shared" si="4"/>
        <v>28308.78</v>
      </c>
      <c r="V17" s="257">
        <f t="shared" si="4"/>
        <v>28129.48</v>
      </c>
      <c r="W17" s="257">
        <f t="shared" si="4"/>
        <v>3308.78</v>
      </c>
      <c r="X17" s="257">
        <f t="shared" si="4"/>
        <v>3308.78</v>
      </c>
      <c r="Y17" s="257">
        <f t="shared" si="4"/>
        <v>3308.78</v>
      </c>
      <c r="Z17" s="257">
        <f t="shared" si="4"/>
        <v>4397.28</v>
      </c>
      <c r="AA17" s="257">
        <f t="shared" si="4"/>
        <v>3308.78</v>
      </c>
      <c r="AB17" s="259">
        <f t="shared" si="4"/>
        <v>3308.78</v>
      </c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</row>
    <row r="18">
      <c r="A18" s="194"/>
      <c r="B18" s="194"/>
      <c r="C18" s="203"/>
      <c r="D18" s="260"/>
      <c r="E18" s="1"/>
      <c r="Q18" s="1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</row>
    <row r="19">
      <c r="A19" s="194"/>
      <c r="B19" s="194"/>
      <c r="C19" s="203"/>
      <c r="D19" s="214" t="s">
        <v>158</v>
      </c>
      <c r="E19" s="1"/>
      <c r="Q19" s="1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</row>
    <row r="20">
      <c r="A20" s="194"/>
      <c r="B20" s="194"/>
      <c r="C20" s="203"/>
      <c r="D20" s="224" t="s">
        <v>142</v>
      </c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</row>
    <row r="21">
      <c r="A21" s="194"/>
      <c r="B21" s="194"/>
      <c r="C21" s="203"/>
      <c r="D21" s="225" t="s">
        <v>159</v>
      </c>
      <c r="E21" s="195">
        <f>'Prévisionnel 2017 SCN1'!F19</f>
        <v>2052.17</v>
      </c>
      <c r="F21" s="195">
        <f>'Prévisionnel 2017 SCN1'!G19</f>
        <v>2632.85</v>
      </c>
      <c r="G21" s="195">
        <f>'Prévisionnel 2017 SCN1'!H19</f>
        <v>2718.69</v>
      </c>
      <c r="H21" s="195">
        <f>'Prévisionnel 2017 SCN1'!I19</f>
        <v>3501.68</v>
      </c>
      <c r="I21" s="195">
        <f>'Prévisionnel 2017 SCN1'!J19</f>
        <v>3254.84</v>
      </c>
      <c r="J21" s="195">
        <f>'Prévisionnel 2017 SCN1'!K19</f>
        <v>3496.88</v>
      </c>
      <c r="K21" s="195">
        <f>'Prévisionnel 2017 SCN1'!L19</f>
        <v>1901.82</v>
      </c>
      <c r="L21" s="195">
        <f>'Prévisionnel 2017 SCN1'!M19</f>
        <v>2222.31</v>
      </c>
      <c r="M21" s="195">
        <f>'Prévisionnel 2017 SCN1'!N19</f>
        <v>4826.15</v>
      </c>
      <c r="N21" s="195">
        <f>'Prévisionnel 2017 SCN1'!O19</f>
        <v>5957.03</v>
      </c>
      <c r="O21" s="195">
        <f>'Prévisionnel 2017 SCN1'!P19</f>
        <v>7142.99</v>
      </c>
      <c r="P21" s="261">
        <f>'Prévisionnel 2017 SCN1'!Q19</f>
        <v>10401.23</v>
      </c>
      <c r="Q21" s="262">
        <f>'Prévisionnel 2017 SCN1'!F63</f>
        <v>12019.29</v>
      </c>
      <c r="R21" s="263">
        <f>'Prévisionnel 2017 SCN1'!G63</f>
        <v>15489.11</v>
      </c>
      <c r="S21" s="263">
        <f>'Prévisionnel 2017 SCN1'!H63</f>
        <v>21108.18</v>
      </c>
      <c r="T21" s="263">
        <f>'Prévisionnel 2017 SCN1'!I63</f>
        <v>20500</v>
      </c>
      <c r="U21" s="263">
        <f>'Prévisionnel 2017 SCN1'!J63</f>
        <v>20500</v>
      </c>
      <c r="V21" s="263">
        <f>'Prévisionnel 2017 SCN1'!K63</f>
        <v>20500</v>
      </c>
      <c r="W21" s="263">
        <f>'Prévisionnel 2017 SCN1'!L63</f>
        <v>0</v>
      </c>
      <c r="X21" s="263">
        <f>'Prévisionnel 2017 SCN1'!M63</f>
        <v>0</v>
      </c>
      <c r="Y21" s="263">
        <f>'Prévisionnel 2017 SCN1'!N63</f>
        <v>0</v>
      </c>
      <c r="Z21" s="263">
        <f>'Prévisionnel 2017 SCN1'!O63</f>
        <v>0</v>
      </c>
      <c r="AA21" s="263">
        <f>'Prévisionnel 2017 SCN1'!P63</f>
        <v>0</v>
      </c>
      <c r="AB21" s="263">
        <f>'Prévisionnel 2017 SCN1'!Q63</f>
        <v>0</v>
      </c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</row>
    <row r="22">
      <c r="A22" s="194"/>
      <c r="B22" s="194"/>
      <c r="C22" s="203"/>
      <c r="D22" s="225" t="s">
        <v>160</v>
      </c>
      <c r="E22" s="195"/>
      <c r="F22" s="195"/>
      <c r="G22" s="195"/>
      <c r="H22" s="195"/>
      <c r="I22" s="195"/>
      <c r="J22" s="195"/>
      <c r="K22" s="195"/>
      <c r="L22" s="195"/>
      <c r="M22" s="195"/>
      <c r="N22" s="195">
        <f>'Prévisionnel 2017 SCN1'!O15</f>
        <v>109.4</v>
      </c>
      <c r="O22" s="195">
        <f>'Prévisionnel 2017 SCN1'!P15</f>
        <v>121.8</v>
      </c>
      <c r="P22" s="261"/>
      <c r="Q22" s="234">
        <f>'Prévisionnel 2017 SCN1'!F59</f>
        <v>1555.32</v>
      </c>
      <c r="R22" s="195">
        <f>'Prévisionnel 2017 SCN1'!G59</f>
        <v>0</v>
      </c>
      <c r="S22" s="195">
        <f>'Prévisionnel 2017 SCN1'!H59</f>
        <v>0</v>
      </c>
      <c r="T22" s="195">
        <f>'Prévisionnel 2017 SCN1'!I59</f>
        <v>50</v>
      </c>
      <c r="U22" s="195">
        <f>'Prévisionnel 2017 SCN1'!J59</f>
        <v>50</v>
      </c>
      <c r="V22" s="195">
        <f>'Prévisionnel 2017 SCN1'!K59</f>
        <v>50</v>
      </c>
      <c r="W22" s="195">
        <f>'Prévisionnel 2017 SCN1'!L59</f>
        <v>50</v>
      </c>
      <c r="X22" s="195">
        <f>'Prévisionnel 2017 SCN1'!M59</f>
        <v>50</v>
      </c>
      <c r="Y22" s="195">
        <f>'Prévisionnel 2017 SCN1'!N59</f>
        <v>50</v>
      </c>
      <c r="Z22" s="195">
        <f>'Prévisionnel 2017 SCN1'!O59</f>
        <v>50</v>
      </c>
      <c r="AA22" s="195">
        <f>'Prévisionnel 2017 SCN1'!P59</f>
        <v>50</v>
      </c>
      <c r="AB22" s="195">
        <f>'Prévisionnel 2017 SCN1'!Q59</f>
        <v>50</v>
      </c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</row>
    <row r="23">
      <c r="A23" s="194"/>
      <c r="B23" s="194"/>
      <c r="C23" s="203"/>
      <c r="D23" s="225" t="s">
        <v>161</v>
      </c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5"/>
      <c r="Q23" s="234">
        <f>54.91</f>
        <v>54.91</v>
      </c>
      <c r="R23" s="195"/>
      <c r="S23" s="195"/>
      <c r="T23" s="195">
        <v>130.0</v>
      </c>
      <c r="U23" s="195"/>
      <c r="V23" s="195"/>
      <c r="W23" s="195"/>
      <c r="X23" s="195"/>
      <c r="Y23" s="195"/>
      <c r="Z23" s="195">
        <v>130.0</v>
      </c>
      <c r="AA23" s="195"/>
      <c r="AB23" s="195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</row>
    <row r="24">
      <c r="A24" s="194"/>
      <c r="B24" s="194"/>
      <c r="C24" s="203"/>
      <c r="D24" s="225" t="s">
        <v>162</v>
      </c>
      <c r="E24" s="195"/>
      <c r="F24" s="195"/>
      <c r="G24" s="195"/>
      <c r="H24" s="195"/>
      <c r="I24" s="195"/>
      <c r="J24" s="195"/>
      <c r="K24" s="195"/>
      <c r="L24" s="195">
        <f>'Prévisionnel 2017 SCN1'!M16</f>
        <v>94.06</v>
      </c>
      <c r="M24" s="195"/>
      <c r="N24" s="195">
        <f>'Prévisionnel 2017 SCN1'!O16</f>
        <v>272.02</v>
      </c>
      <c r="O24" s="195"/>
      <c r="P24" s="261">
        <f>'Prévisionnel 2017 SCN1'!Q16</f>
        <v>130.11</v>
      </c>
      <c r="Q24" s="234">
        <f>'Prévisionnel 2017 SCN1'!F60</f>
        <v>0</v>
      </c>
      <c r="R24" s="195">
        <f>'Prévisionnel 2017 SCN1'!G60</f>
        <v>167.31</v>
      </c>
      <c r="S24" s="195">
        <f>'Prévisionnel 2017 SCN1'!H60</f>
        <v>0</v>
      </c>
      <c r="T24" s="195">
        <f>'Prévisionnel 2017 SCN1'!I60</f>
        <v>333</v>
      </c>
      <c r="U24" s="195" t="str">
        <f>'Prévisionnel 2017 SCN1'!J60</f>
        <v/>
      </c>
      <c r="V24" s="195">
        <f>'Prévisionnel 2017 SCN1'!K60</f>
        <v>333</v>
      </c>
      <c r="W24" s="195" t="str">
        <f>'Prévisionnel 2017 SCN1'!L60</f>
        <v/>
      </c>
      <c r="X24" s="195">
        <f>'Prévisionnel 2017 SCN1'!M60</f>
        <v>333</v>
      </c>
      <c r="Y24" s="195" t="str">
        <f>'Prévisionnel 2017 SCN1'!N60</f>
        <v/>
      </c>
      <c r="Z24" s="195">
        <f>'Prévisionnel 2017 SCN1'!O60</f>
        <v>333</v>
      </c>
      <c r="AA24" s="195" t="str">
        <f>'Prévisionnel 2017 SCN1'!P60</f>
        <v/>
      </c>
      <c r="AB24" s="195">
        <f>'Prévisionnel 2017 SCN1'!Q60</f>
        <v>333</v>
      </c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</row>
    <row r="25">
      <c r="A25" s="194"/>
      <c r="B25" s="194"/>
      <c r="C25" s="203"/>
      <c r="D25" s="225" t="s">
        <v>163</v>
      </c>
      <c r="E25" s="195"/>
      <c r="F25" s="195"/>
      <c r="G25" s="195"/>
      <c r="H25" s="195"/>
      <c r="I25" s="195"/>
      <c r="J25" s="195">
        <f>'Prévisionnel 2017 SCN1'!K21</f>
        <v>57.75</v>
      </c>
      <c r="K25" s="195">
        <f>'Prévisionnel 2017 SCN1'!L21</f>
        <v>572.06</v>
      </c>
      <c r="L25" s="195">
        <f>'Prévisionnel 2017 SCN1'!M21</f>
        <v>58.2</v>
      </c>
      <c r="M25" s="195">
        <f>'Prévisionnel 2017 SCN1'!N21</f>
        <v>144.64</v>
      </c>
      <c r="N25" s="195">
        <f>'Prévisionnel 2017 SCN1'!O21</f>
        <v>94.13</v>
      </c>
      <c r="O25" s="195">
        <f>'Prévisionnel 2017 SCN1'!P21</f>
        <v>26.07</v>
      </c>
      <c r="P25" s="261">
        <f>'Prévisionnel 2017 SCN1'!Q21</f>
        <v>19.26</v>
      </c>
      <c r="Q25" s="234">
        <f>'Prévisionnel 2017 SCN1'!F65</f>
        <v>35.27</v>
      </c>
      <c r="R25" s="195">
        <f>'Prévisionnel 2017 SCN1'!G65</f>
        <v>436.61</v>
      </c>
      <c r="S25" s="195">
        <f>'Prévisionnel 2017 SCN1'!H65</f>
        <v>7.3</v>
      </c>
      <c r="T25" s="195">
        <f>'Prévisionnel 2017 SCN1'!I65</f>
        <v>80</v>
      </c>
      <c r="U25" s="195">
        <f>'Prévisionnel 2017 SCN1'!J65</f>
        <v>80</v>
      </c>
      <c r="V25" s="195">
        <f>'Prévisionnel 2017 SCN1'!K65</f>
        <v>80</v>
      </c>
      <c r="W25" s="195">
        <f>'Prévisionnel 2017 SCN1'!L65</f>
        <v>80</v>
      </c>
      <c r="X25" s="195">
        <f>'Prévisionnel 2017 SCN1'!M65</f>
        <v>80</v>
      </c>
      <c r="Y25" s="195">
        <f>'Prévisionnel 2017 SCN1'!N65</f>
        <v>80</v>
      </c>
      <c r="Z25" s="195">
        <f>'Prévisionnel 2017 SCN1'!O65</f>
        <v>80</v>
      </c>
      <c r="AA25" s="195">
        <f>'Prévisionnel 2017 SCN1'!P65</f>
        <v>80</v>
      </c>
      <c r="AB25" s="195">
        <f>'Prévisionnel 2017 SCN1'!Q65</f>
        <v>80</v>
      </c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</row>
    <row r="26">
      <c r="A26" s="194"/>
      <c r="B26" s="194"/>
      <c r="C26" s="203"/>
      <c r="D26" s="225" t="s">
        <v>164</v>
      </c>
      <c r="E26" s="195">
        <f>'Prévisionnel 2017 SCN1'!F18</f>
        <v>22.95</v>
      </c>
      <c r="F26" s="195"/>
      <c r="G26" s="195"/>
      <c r="H26" s="195"/>
      <c r="I26" s="195">
        <f>'Prévisionnel 2017 SCN1'!J18</f>
        <v>95.69</v>
      </c>
      <c r="J26" s="195">
        <f>'Prévisionnel 2017 SCN1'!K18</f>
        <v>19.29</v>
      </c>
      <c r="K26" s="195"/>
      <c r="L26" s="195">
        <f>'Prévisionnel 2017 SCN1'!M18</f>
        <v>45</v>
      </c>
      <c r="M26" s="195">
        <f>'Prévisionnel 2017 SCN1'!N18</f>
        <v>40</v>
      </c>
      <c r="N26" s="195"/>
      <c r="O26" s="195">
        <f>'Prévisionnel 2017 SCN1'!P18</f>
        <v>35.06</v>
      </c>
      <c r="P26" s="261">
        <f>'Prévisionnel 2017 SCN1'!Q18</f>
        <v>0</v>
      </c>
      <c r="Q26" s="234">
        <f>'Prévisionnel 2017 SCN1'!F62</f>
        <v>150.26</v>
      </c>
      <c r="R26" s="195">
        <f>'Prévisionnel 2017 SCN1'!G62</f>
        <v>69.4</v>
      </c>
      <c r="S26" s="195">
        <f>'Prévisionnel 2017 SCN1'!H62</f>
        <v>0</v>
      </c>
      <c r="T26" s="195">
        <f>'Prévisionnel 2017 SCN1'!I62</f>
        <v>50</v>
      </c>
      <c r="U26" s="195">
        <f>'Prévisionnel 2017 SCN1'!J62</f>
        <v>50</v>
      </c>
      <c r="V26" s="195">
        <f>'Prévisionnel 2017 SCN1'!K62</f>
        <v>50</v>
      </c>
      <c r="W26" s="195">
        <f>'Prévisionnel 2017 SCN1'!L62</f>
        <v>50</v>
      </c>
      <c r="X26" s="195">
        <f>'Prévisionnel 2017 SCN1'!M62</f>
        <v>50</v>
      </c>
      <c r="Y26" s="195">
        <f>'Prévisionnel 2017 SCN1'!N62</f>
        <v>50</v>
      </c>
      <c r="Z26" s="195">
        <f>'Prévisionnel 2017 SCN1'!O62</f>
        <v>50</v>
      </c>
      <c r="AA26" s="195">
        <f>'Prévisionnel 2017 SCN1'!P62</f>
        <v>50</v>
      </c>
      <c r="AB26" s="195">
        <f>'Prévisionnel 2017 SCN1'!Q62</f>
        <v>50</v>
      </c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</row>
    <row r="27">
      <c r="A27" s="194"/>
      <c r="B27" s="194"/>
      <c r="C27" s="203"/>
      <c r="D27" s="225" t="s">
        <v>166</v>
      </c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5"/>
      <c r="Q27" s="266"/>
      <c r="R27" s="264"/>
      <c r="S27" s="264"/>
      <c r="T27" s="264"/>
      <c r="U27" s="264"/>
      <c r="V27" s="264"/>
      <c r="W27" s="264"/>
      <c r="X27" s="264"/>
      <c r="Y27" s="264"/>
      <c r="Z27" s="264"/>
      <c r="AA27" s="264"/>
      <c r="AB27" s="26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</row>
    <row r="28">
      <c r="A28" s="194"/>
      <c r="B28" s="194"/>
      <c r="C28" s="203"/>
      <c r="D28" s="225" t="s">
        <v>167</v>
      </c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5"/>
      <c r="Q28" s="266"/>
      <c r="R28" s="264"/>
      <c r="S28" s="264"/>
      <c r="T28" s="264"/>
      <c r="U28" s="264"/>
      <c r="V28" s="264"/>
      <c r="W28" s="264"/>
      <c r="X28" s="264"/>
      <c r="Y28" s="264"/>
      <c r="Z28" s="264"/>
      <c r="AA28" s="264"/>
      <c r="AB28" s="26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</row>
    <row r="29">
      <c r="A29" s="194"/>
      <c r="B29" s="194"/>
      <c r="C29" s="203"/>
      <c r="D29" s="225" t="s">
        <v>168</v>
      </c>
      <c r="E29" s="195"/>
      <c r="F29" s="195"/>
      <c r="G29" s="195"/>
      <c r="H29" s="195"/>
      <c r="I29" s="195">
        <f>'Prévisionnel 2017 SCN1'!J20</f>
        <v>250</v>
      </c>
      <c r="J29" s="195">
        <f>'Prévisionnel 2017 SCN1'!K20</f>
        <v>665</v>
      </c>
      <c r="K29" s="195"/>
      <c r="L29" s="195">
        <f>'Prévisionnel 2017 SCN1'!M20</f>
        <v>1950</v>
      </c>
      <c r="M29" s="195"/>
      <c r="N29" s="195"/>
      <c r="O29" s="195">
        <f>'Prévisionnel 2017 SCN1'!P20</f>
        <v>1950</v>
      </c>
      <c r="P29" s="261"/>
      <c r="Q29" s="234">
        <f>'Prévisionnel 2017 SCN1'!F64</f>
        <v>0</v>
      </c>
      <c r="R29" s="195">
        <f>'Prévisionnel 2017 SCN1'!G64</f>
        <v>1950</v>
      </c>
      <c r="S29" s="195">
        <f>'Prévisionnel 2017 SCN1'!H64</f>
        <v>0</v>
      </c>
      <c r="T29" s="195">
        <f>'Prévisionnel 2017 SCN1'!I64</f>
        <v>30</v>
      </c>
      <c r="U29" s="195">
        <f>'Prévisionnel 2017 SCN1'!J64</f>
        <v>1980</v>
      </c>
      <c r="V29" s="195">
        <f>'Prévisionnel 2017 SCN1'!K64</f>
        <v>280</v>
      </c>
      <c r="W29" s="195">
        <f>'Prévisionnel 2017 SCN1'!L64</f>
        <v>0</v>
      </c>
      <c r="X29" s="195">
        <f>'Prévisionnel 2017 SCN1'!M64</f>
        <v>1950</v>
      </c>
      <c r="Y29" s="195">
        <f>'Prévisionnel 2017 SCN1'!N64</f>
        <v>280</v>
      </c>
      <c r="Z29" s="195">
        <f>'Prévisionnel 2017 SCN1'!O64</f>
        <v>30</v>
      </c>
      <c r="AA29" s="195">
        <f>'Prévisionnel 2017 SCN1'!P64</f>
        <v>1980</v>
      </c>
      <c r="AB29" s="195">
        <f>'Prévisionnel 2017 SCN1'!Q64</f>
        <v>1300</v>
      </c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</row>
    <row r="30">
      <c r="A30" s="194"/>
      <c r="B30" s="194"/>
      <c r="C30" s="203"/>
      <c r="D30" s="225" t="s">
        <v>169</v>
      </c>
      <c r="E30" s="195"/>
      <c r="F30" s="195"/>
      <c r="G30" s="195"/>
      <c r="H30" s="195"/>
      <c r="I30" s="195"/>
      <c r="J30" s="195"/>
      <c r="K30" s="195">
        <f>'Prévisionnel 2017 SCN1'!L22</f>
        <v>173.08</v>
      </c>
      <c r="L30" s="195"/>
      <c r="M30" s="195"/>
      <c r="N30" s="195"/>
      <c r="O30" s="195"/>
      <c r="P30" s="261"/>
      <c r="Q30" s="234">
        <f>'Prévisionnel 2017 SCN1'!F66</f>
        <v>299.26</v>
      </c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</row>
    <row r="31">
      <c r="A31" s="194"/>
      <c r="B31" s="194"/>
      <c r="C31" s="203"/>
      <c r="D31" s="225" t="s">
        <v>170</v>
      </c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5"/>
      <c r="Q31" s="266"/>
      <c r="R31" s="264"/>
      <c r="S31" s="264"/>
      <c r="T31" s="264"/>
      <c r="U31" s="264"/>
      <c r="V31" s="264"/>
      <c r="W31" s="264"/>
      <c r="X31" s="264"/>
      <c r="Y31" s="264"/>
      <c r="Z31" s="264"/>
      <c r="AA31" s="264"/>
      <c r="AB31" s="26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</row>
    <row r="32">
      <c r="A32" s="194"/>
      <c r="B32" s="194"/>
      <c r="C32" s="203"/>
      <c r="D32" s="225" t="s">
        <v>171</v>
      </c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5"/>
      <c r="Q32" s="266"/>
      <c r="R32" s="264"/>
      <c r="S32" s="264"/>
      <c r="T32" s="264"/>
      <c r="U32" s="264"/>
      <c r="V32" s="264"/>
      <c r="W32" s="264"/>
      <c r="X32" s="264"/>
      <c r="Y32" s="264"/>
      <c r="Z32" s="264"/>
      <c r="AA32" s="264"/>
      <c r="AB32" s="26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</row>
    <row r="33">
      <c r="A33" s="194"/>
      <c r="B33" s="194"/>
      <c r="C33" s="203"/>
      <c r="D33" s="225" t="s">
        <v>172</v>
      </c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5"/>
      <c r="Q33" s="266"/>
      <c r="R33" s="264"/>
      <c r="S33" s="264"/>
      <c r="T33" s="264"/>
      <c r="U33" s="264"/>
      <c r="V33" s="264"/>
      <c r="W33" s="264"/>
      <c r="X33" s="264"/>
      <c r="Y33" s="264"/>
      <c r="Z33" s="264"/>
      <c r="AA33" s="264"/>
      <c r="AB33" s="26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</row>
    <row r="34">
      <c r="A34" s="194"/>
      <c r="B34" s="194"/>
      <c r="C34" s="203"/>
      <c r="D34" s="225" t="s">
        <v>173</v>
      </c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5"/>
      <c r="Q34" s="266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</row>
    <row r="35">
      <c r="A35" s="194"/>
      <c r="B35" s="194"/>
      <c r="C35" s="203"/>
      <c r="D35" s="225" t="s">
        <v>174</v>
      </c>
      <c r="E35" s="195"/>
      <c r="F35" s="195"/>
      <c r="G35" s="195"/>
      <c r="H35" s="195">
        <f>'Prévisionnel 2017 SCN1'!I25</f>
        <v>26.8</v>
      </c>
      <c r="I35" s="195"/>
      <c r="J35" s="195"/>
      <c r="K35" s="195">
        <f>'Prévisionnel 2017 SCN1'!L25</f>
        <v>78.15</v>
      </c>
      <c r="L35" s="195">
        <f>'Prévisionnel 2017 SCN1'!M25</f>
        <v>17.99</v>
      </c>
      <c r="M35" s="195">
        <f>'Prévisionnel 2017 SCN1'!N25</f>
        <v>17.99</v>
      </c>
      <c r="N35" s="195">
        <f>'Prévisionnel 2017 SCN1'!O25</f>
        <v>11.79</v>
      </c>
      <c r="O35" s="195">
        <f>'Prévisionnel 2017 SCN1'!P25</f>
        <v>59.31</v>
      </c>
      <c r="P35" s="261">
        <f>'Prévisionnel 2017 SCN1'!Q25</f>
        <v>17.99</v>
      </c>
      <c r="Q35" s="234">
        <f>'Prévisionnel 2017 SCN1'!F69</f>
        <v>12.79</v>
      </c>
      <c r="R35" s="195">
        <f>'Prévisionnel 2017 SCN1'!G69</f>
        <v>0</v>
      </c>
      <c r="S35" s="195">
        <f>'Prévisionnel 2017 SCN1'!H69</f>
        <v>17.99</v>
      </c>
      <c r="T35" s="195">
        <f>'Prévisionnel 2017 SCN1'!I69</f>
        <v>27.99</v>
      </c>
      <c r="U35" s="195">
        <f>'Prévisionnel 2017 SCN1'!J69</f>
        <v>27.99</v>
      </c>
      <c r="V35" s="195">
        <f>'Prévisionnel 2017 SCN1'!K69</f>
        <v>27.99</v>
      </c>
      <c r="W35" s="195">
        <f>'Prévisionnel 2017 SCN1'!L69</f>
        <v>27.99</v>
      </c>
      <c r="X35" s="195">
        <f>'Prévisionnel 2017 SCN1'!M69</f>
        <v>39.99</v>
      </c>
      <c r="Y35" s="195">
        <f>'Prévisionnel 2017 SCN1'!N69</f>
        <v>39.99</v>
      </c>
      <c r="Z35" s="195">
        <f>'Prévisionnel 2017 SCN1'!O69</f>
        <v>39.99</v>
      </c>
      <c r="AA35" s="195">
        <f>'Prévisionnel 2017 SCN1'!P69</f>
        <v>39.99</v>
      </c>
      <c r="AB35" s="195">
        <f>'Prévisionnel 2017 SCN1'!Q69</f>
        <v>39.99</v>
      </c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</row>
    <row r="36">
      <c r="A36" s="194"/>
      <c r="B36" s="194"/>
      <c r="C36" s="203"/>
      <c r="D36" s="225" t="s">
        <v>68</v>
      </c>
      <c r="E36" s="195">
        <f>'Prévisionnel 2017 SCN1'!F24</f>
        <v>23.4</v>
      </c>
      <c r="F36" s="195">
        <f>'Prévisionnel 2017 SCN1'!G24</f>
        <v>40</v>
      </c>
      <c r="G36" s="195">
        <f>'Prévisionnel 2017 SCN1'!H24</f>
        <v>40</v>
      </c>
      <c r="H36" s="195">
        <f>'Prévisionnel 2017 SCN1'!I24</f>
        <v>62</v>
      </c>
      <c r="I36" s="195">
        <f>'Prévisionnel 2017 SCN1'!J24</f>
        <v>50</v>
      </c>
      <c r="J36" s="195">
        <f>'Prévisionnel 2017 SCN1'!K24</f>
        <v>60</v>
      </c>
      <c r="K36" s="195">
        <f>'Prévisionnel 2017 SCN1'!L24</f>
        <v>0</v>
      </c>
      <c r="L36" s="195">
        <f>'Prévisionnel 2017 SCN1'!M24</f>
        <v>51</v>
      </c>
      <c r="M36" s="195">
        <f>'Prévisionnel 2017 SCN1'!N24</f>
        <v>112.01</v>
      </c>
      <c r="N36" s="195">
        <f>'Prévisionnel 2017 SCN1'!O24</f>
        <v>60</v>
      </c>
      <c r="O36" s="195">
        <f>'Prévisionnel 2017 SCN1'!P24</f>
        <v>47.78</v>
      </c>
      <c r="P36" s="261">
        <f>'Prévisionnel 2017 SCN1'!Q24</f>
        <v>30</v>
      </c>
      <c r="Q36" s="234">
        <f>'Prévisionnel 2017 SCN1'!F68</f>
        <v>112</v>
      </c>
      <c r="R36" s="195">
        <f>'Prévisionnel 2017 SCN1'!G68</f>
        <v>0</v>
      </c>
      <c r="S36" s="195">
        <f>'Prévisionnel 2017 SCN1'!H68</f>
        <v>0</v>
      </c>
      <c r="T36" s="195">
        <f>'Prévisionnel 2017 SCN1'!I68</f>
        <v>60</v>
      </c>
      <c r="U36" s="195">
        <f>'Prévisionnel 2017 SCN1'!J68</f>
        <v>60</v>
      </c>
      <c r="V36" s="195">
        <f>'Prévisionnel 2017 SCN1'!K68</f>
        <v>60</v>
      </c>
      <c r="W36" s="195">
        <f>'Prévisionnel 2017 SCN1'!L68</f>
        <v>60</v>
      </c>
      <c r="X36" s="195">
        <f>'Prévisionnel 2017 SCN1'!M68</f>
        <v>60</v>
      </c>
      <c r="Y36" s="195">
        <f>'Prévisionnel 2017 SCN1'!N68</f>
        <v>60</v>
      </c>
      <c r="Z36" s="195">
        <f>'Prévisionnel 2017 SCN1'!O68</f>
        <v>60</v>
      </c>
      <c r="AA36" s="195">
        <f>'Prévisionnel 2017 SCN1'!P68</f>
        <v>60</v>
      </c>
      <c r="AB36" s="195">
        <f>'Prévisionnel 2017 SCN1'!Q68</f>
        <v>60</v>
      </c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</row>
    <row r="37">
      <c r="A37" s="194"/>
      <c r="B37" s="194"/>
      <c r="C37" s="203"/>
      <c r="D37" s="225" t="s">
        <v>176</v>
      </c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5"/>
      <c r="Q37" s="266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4"/>
    </row>
    <row r="38">
      <c r="A38" s="194"/>
      <c r="B38" s="194"/>
      <c r="C38" s="203"/>
      <c r="D38" s="225" t="s">
        <v>177</v>
      </c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5"/>
      <c r="Q38" s="266"/>
      <c r="R38" s="264"/>
      <c r="S38" s="264"/>
      <c r="T38" s="195">
        <f>'Prévisionnel 2017 SCN1'!I58</f>
        <v>5285</v>
      </c>
      <c r="U38" s="264"/>
      <c r="V38" s="264"/>
      <c r="W38" s="264"/>
      <c r="X38" s="264"/>
      <c r="Y38" s="264"/>
      <c r="Z38" s="264"/>
      <c r="AA38" s="264"/>
      <c r="AB38" s="26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</row>
    <row r="39">
      <c r="A39" s="194"/>
      <c r="B39" s="194"/>
      <c r="C39" s="203"/>
      <c r="D39" s="225" t="s">
        <v>178</v>
      </c>
      <c r="E39" s="195"/>
      <c r="F39" s="195"/>
      <c r="G39" s="195"/>
      <c r="H39" s="195"/>
      <c r="I39" s="195"/>
      <c r="J39" s="195"/>
      <c r="K39" s="195"/>
      <c r="L39" s="195"/>
      <c r="M39" s="195"/>
      <c r="N39" s="195">
        <f>'Prévisionnel 2017 SCN1'!O27</f>
        <v>1123.42</v>
      </c>
      <c r="O39" s="195">
        <f>'Prévisionnel 2017 SCN1'!P27</f>
        <v>1123.42</v>
      </c>
      <c r="P39" s="261">
        <f>'Prévisionnel 2017 SCN1'!Q27</f>
        <v>1123.42</v>
      </c>
      <c r="Q39" s="234">
        <f>'Prévisionnel 2017 SCN1'!F71</f>
        <v>1123.49</v>
      </c>
      <c r="R39" s="195">
        <f>'Prévisionnel 2017 SCN1'!G71</f>
        <v>1132.06</v>
      </c>
      <c r="S39" s="195">
        <f>'Prévisionnel 2017 SCN1'!H71</f>
        <v>1132.06</v>
      </c>
      <c r="T39" s="195">
        <f>'Prévisionnel 2017 SCN1'!I71</f>
        <v>2246.8</v>
      </c>
      <c r="U39" s="195">
        <f>'Prévisionnel 2017 SCN1'!J71</f>
        <v>2246.8</v>
      </c>
      <c r="V39" s="195">
        <f>'Prévisionnel 2017 SCN1'!K71</f>
        <v>2246.8</v>
      </c>
      <c r="W39" s="195">
        <f>'Prévisionnel 2017 SCN1'!L71</f>
        <v>2246.8</v>
      </c>
      <c r="X39" s="195">
        <f>'Prévisionnel 2017 SCN1'!M71</f>
        <v>2246.8</v>
      </c>
      <c r="Y39" s="195">
        <f>'Prévisionnel 2017 SCN1'!N71</f>
        <v>2246.8</v>
      </c>
      <c r="Z39" s="195">
        <f>'Prévisionnel 2017 SCN1'!O71</f>
        <v>2246.8</v>
      </c>
      <c r="AA39" s="195">
        <f>'Prévisionnel 2017 SCN1'!P71</f>
        <v>2246.8</v>
      </c>
      <c r="AB39" s="195">
        <f>'Prévisionnel 2017 SCN1'!Q71</f>
        <v>2246.8</v>
      </c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</row>
    <row r="40">
      <c r="A40" s="194"/>
      <c r="B40" s="194"/>
      <c r="C40" s="203"/>
      <c r="D40" s="225" t="s">
        <v>179</v>
      </c>
      <c r="E40" s="195" t="str">
        <f>'Prévisionnel 2017 SCN1'!F28</f>
        <v/>
      </c>
      <c r="F40" s="195" t="str">
        <f>'Prévisionnel 2017 SCN1'!G28</f>
        <v/>
      </c>
      <c r="G40" s="195" t="str">
        <f>'Prévisionnel 2017 SCN1'!H28</f>
        <v/>
      </c>
      <c r="H40" s="195" t="str">
        <f>'Prévisionnel 2017 SCN1'!I28</f>
        <v/>
      </c>
      <c r="I40" s="195" t="str">
        <f>'Prévisionnel 2017 SCN1'!J28</f>
        <v/>
      </c>
      <c r="J40" s="195" t="str">
        <f>'Prévisionnel 2017 SCN1'!K28</f>
        <v/>
      </c>
      <c r="K40" s="195" t="str">
        <f>'Prévisionnel 2017 SCN1'!L28</f>
        <v/>
      </c>
      <c r="L40" s="195" t="str">
        <f>'Prévisionnel 2017 SCN1'!M28</f>
        <v/>
      </c>
      <c r="M40" s="195"/>
      <c r="N40" s="195"/>
      <c r="O40" s="195">
        <f>'Prévisionnel 2017 SCN1'!P28</f>
        <v>359</v>
      </c>
      <c r="P40" s="261"/>
      <c r="Q40" s="234">
        <f>'Prévisionnel 2017 SCN1'!F72</f>
        <v>1607</v>
      </c>
      <c r="R40" s="195">
        <f>'Prévisionnel 2017 SCN1'!G72</f>
        <v>0</v>
      </c>
      <c r="S40" s="195">
        <f>'Prévisionnel 2017 SCN1'!H72</f>
        <v>0</v>
      </c>
      <c r="T40" s="195">
        <f>'Prévisionnel 2017 SCN1'!I72</f>
        <v>2995</v>
      </c>
      <c r="U40" s="195">
        <f>'Prévisionnel 2017 SCN1'!J72</f>
        <v>110</v>
      </c>
      <c r="V40" s="195">
        <f>'Prévisionnel 2017 SCN1'!K72</f>
        <v>110</v>
      </c>
      <c r="W40" s="195">
        <f>'Prévisionnel 2017 SCN1'!L72</f>
        <v>2418</v>
      </c>
      <c r="X40" s="195">
        <f>'Prévisionnel 2017 SCN1'!M72</f>
        <v>110</v>
      </c>
      <c r="Y40" s="195">
        <f>'Prévisionnel 2017 SCN1'!N72</f>
        <v>110</v>
      </c>
      <c r="Z40" s="195">
        <f>'Prévisionnel 2017 SCN1'!O72</f>
        <v>2418</v>
      </c>
      <c r="AA40" s="195">
        <f>'Prévisionnel 2017 SCN1'!P72</f>
        <v>110</v>
      </c>
      <c r="AB40" s="195">
        <f>'Prévisionnel 2017 SCN1'!Q72</f>
        <v>110</v>
      </c>
      <c r="AC40" s="194"/>
      <c r="AD40" s="194"/>
      <c r="AE40" s="194"/>
      <c r="AF40" s="194"/>
      <c r="AG40" s="194"/>
      <c r="AH40" s="194"/>
      <c r="AI40" s="194"/>
      <c r="AJ40" s="194"/>
      <c r="AK40" s="194"/>
      <c r="AL40" s="194"/>
    </row>
    <row r="41">
      <c r="A41" s="194"/>
      <c r="B41" s="194"/>
      <c r="C41" s="203"/>
      <c r="D41" s="225" t="s">
        <v>180</v>
      </c>
      <c r="E41" s="195">
        <f>'Prévisionnel 2017 SCN1'!F26</f>
        <v>17.77</v>
      </c>
      <c r="F41" s="195">
        <f>'Prévisionnel 2017 SCN1'!G26</f>
        <v>7.3</v>
      </c>
      <c r="G41" s="195">
        <f>'Prévisionnel 2017 SCN1'!H26</f>
        <v>7.3</v>
      </c>
      <c r="H41" s="195">
        <f>'Prévisionnel 2017 SCN1'!I26</f>
        <v>19.56</v>
      </c>
      <c r="I41" s="195">
        <f>'Prévisionnel 2017 SCN1'!J26</f>
        <v>13.06</v>
      </c>
      <c r="J41" s="195">
        <f>'Prévisionnel 2017 SCN1'!K26</f>
        <v>25.65</v>
      </c>
      <c r="K41" s="195">
        <f>'Prévisionnel 2017 SCN1'!L26</f>
        <v>7.3</v>
      </c>
      <c r="L41" s="195">
        <f>'Prévisionnel 2017 SCN1'!M26</f>
        <v>7.3</v>
      </c>
      <c r="M41" s="195">
        <f>'Prévisionnel 2017 SCN1'!N26</f>
        <v>24.19</v>
      </c>
      <c r="N41" s="195">
        <f>'Prévisionnel 2017 SCN1'!O26</f>
        <v>7.3</v>
      </c>
      <c r="O41" s="195">
        <f>'Prévisionnel 2017 SCN1'!P26</f>
        <v>7.3</v>
      </c>
      <c r="P41" s="261">
        <f>'Prévisionnel 2017 SCN1'!Q26</f>
        <v>60.12</v>
      </c>
      <c r="Q41" s="234">
        <f>'Prévisionnel 2017 SCN1'!F70</f>
        <v>7.3</v>
      </c>
      <c r="R41" s="195">
        <f>'Prévisionnel 2017 SCN1'!G70</f>
        <v>13.98</v>
      </c>
      <c r="S41" s="195">
        <f>'Prévisionnel 2017 SCN1'!H70</f>
        <v>7.3</v>
      </c>
      <c r="T41" s="195">
        <f>'Prévisionnel 2017 SCN1'!I70</f>
        <v>20</v>
      </c>
      <c r="U41" s="195">
        <f>'Prévisionnel 2017 SCN1'!J70</f>
        <v>20</v>
      </c>
      <c r="V41" s="195">
        <f>'Prévisionnel 2017 SCN1'!K70</f>
        <v>20</v>
      </c>
      <c r="W41" s="195">
        <f>'Prévisionnel 2017 SCN1'!L70</f>
        <v>20</v>
      </c>
      <c r="X41" s="195">
        <f>'Prévisionnel 2017 SCN1'!M70</f>
        <v>20</v>
      </c>
      <c r="Y41" s="195">
        <f>'Prévisionnel 2017 SCN1'!N70</f>
        <v>20</v>
      </c>
      <c r="Z41" s="195">
        <f>'Prévisionnel 2017 SCN1'!O70</f>
        <v>20</v>
      </c>
      <c r="AA41" s="195">
        <f>'Prévisionnel 2017 SCN1'!P70</f>
        <v>20</v>
      </c>
      <c r="AB41" s="195">
        <f>'Prévisionnel 2017 SCN1'!Q70</f>
        <v>20</v>
      </c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</row>
    <row r="42">
      <c r="A42" s="194"/>
      <c r="B42" s="194"/>
      <c r="C42" s="203"/>
      <c r="D42" s="225" t="s">
        <v>181</v>
      </c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5"/>
      <c r="Q42" s="266"/>
      <c r="R42" s="264"/>
      <c r="S42" s="264"/>
      <c r="T42" s="264"/>
      <c r="U42" s="264"/>
      <c r="V42" s="264"/>
      <c r="W42" s="264"/>
      <c r="X42" s="264"/>
      <c r="Y42" s="264"/>
      <c r="Z42" s="264"/>
      <c r="AA42" s="264"/>
      <c r="AB42" s="26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</row>
    <row r="43">
      <c r="A43" s="194"/>
      <c r="B43" s="194"/>
      <c r="C43" s="203"/>
      <c r="D43" s="225" t="s">
        <v>182</v>
      </c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64"/>
      <c r="P43" s="265"/>
      <c r="Q43" s="266"/>
      <c r="R43" s="264"/>
      <c r="S43" s="264"/>
      <c r="T43" s="264"/>
      <c r="U43" s="264"/>
      <c r="V43" s="264"/>
      <c r="W43" s="264"/>
      <c r="X43" s="264"/>
      <c r="Y43" s="264"/>
      <c r="Z43" s="264"/>
      <c r="AA43" s="264"/>
      <c r="AB43" s="264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</row>
    <row r="44">
      <c r="A44" s="194"/>
      <c r="B44" s="194"/>
      <c r="C44" s="203"/>
      <c r="D44" s="241" t="s">
        <v>183</v>
      </c>
      <c r="E44" s="269">
        <f t="shared" ref="E44:AB44" si="5">SUM(E21:E43)</f>
        <v>2116.29</v>
      </c>
      <c r="F44" s="269">
        <f t="shared" si="5"/>
        <v>2680.15</v>
      </c>
      <c r="G44" s="269">
        <f t="shared" si="5"/>
        <v>2765.99</v>
      </c>
      <c r="H44" s="269">
        <f t="shared" si="5"/>
        <v>3610.04</v>
      </c>
      <c r="I44" s="269">
        <f t="shared" si="5"/>
        <v>3663.59</v>
      </c>
      <c r="J44" s="269">
        <f t="shared" si="5"/>
        <v>4324.57</v>
      </c>
      <c r="K44" s="269">
        <f t="shared" si="5"/>
        <v>2732.41</v>
      </c>
      <c r="L44" s="269">
        <f t="shared" si="5"/>
        <v>4445.86</v>
      </c>
      <c r="M44" s="269">
        <f t="shared" si="5"/>
        <v>5164.98</v>
      </c>
      <c r="N44" s="269">
        <f t="shared" si="5"/>
        <v>7635.09</v>
      </c>
      <c r="O44" s="269">
        <f t="shared" si="5"/>
        <v>10872.73</v>
      </c>
      <c r="P44" s="271">
        <f t="shared" si="5"/>
        <v>11782.13</v>
      </c>
      <c r="Q44" s="272">
        <f t="shared" si="5"/>
        <v>16976.89</v>
      </c>
      <c r="R44" s="273">
        <f t="shared" si="5"/>
        <v>19258.47</v>
      </c>
      <c r="S44" s="273">
        <f t="shared" si="5"/>
        <v>22272.83</v>
      </c>
      <c r="T44" s="273">
        <f t="shared" si="5"/>
        <v>31807.79</v>
      </c>
      <c r="U44" s="273">
        <f t="shared" si="5"/>
        <v>25124.79</v>
      </c>
      <c r="V44" s="273">
        <f t="shared" si="5"/>
        <v>23757.79</v>
      </c>
      <c r="W44" s="273">
        <f t="shared" si="5"/>
        <v>4952.79</v>
      </c>
      <c r="X44" s="273">
        <f t="shared" si="5"/>
        <v>4939.79</v>
      </c>
      <c r="Y44" s="273">
        <f t="shared" si="5"/>
        <v>2936.79</v>
      </c>
      <c r="Z44" s="273">
        <f t="shared" si="5"/>
        <v>5457.79</v>
      </c>
      <c r="AA44" s="273">
        <f t="shared" si="5"/>
        <v>4636.79</v>
      </c>
      <c r="AB44" s="273">
        <f t="shared" si="5"/>
        <v>4289.79</v>
      </c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</row>
    <row r="45">
      <c r="A45" s="194"/>
      <c r="B45" s="194"/>
      <c r="C45" s="203"/>
      <c r="D45" s="224" t="s">
        <v>152</v>
      </c>
      <c r="E45" s="1"/>
      <c r="Q45" s="1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</row>
    <row r="46">
      <c r="A46" s="194"/>
      <c r="B46" s="194"/>
      <c r="C46" s="203"/>
      <c r="D46" s="225" t="s">
        <v>184</v>
      </c>
      <c r="E46" s="264"/>
      <c r="F46" s="274"/>
      <c r="G46" s="274"/>
      <c r="H46" s="274"/>
      <c r="I46" s="274"/>
      <c r="J46" s="274"/>
      <c r="K46" s="274"/>
      <c r="L46" s="274"/>
      <c r="M46" s="274"/>
      <c r="N46" s="274"/>
      <c r="O46" s="274"/>
      <c r="P46" s="276"/>
      <c r="Q46" s="266"/>
      <c r="R46" s="274"/>
      <c r="S46" s="274"/>
      <c r="T46" s="274"/>
      <c r="U46" s="274"/>
      <c r="V46" s="274"/>
      <c r="W46" s="274"/>
      <c r="X46" s="274"/>
      <c r="Y46" s="274"/>
      <c r="Z46" s="274"/>
      <c r="AA46" s="274"/>
      <c r="AB46" s="27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</row>
    <row r="47">
      <c r="A47" s="194"/>
      <c r="B47" s="194"/>
      <c r="C47" s="203"/>
      <c r="D47" s="225" t="s">
        <v>185</v>
      </c>
      <c r="E47" s="264"/>
      <c r="F47" s="274"/>
      <c r="G47" s="274"/>
      <c r="H47" s="274"/>
      <c r="I47" s="274"/>
      <c r="J47" s="274"/>
      <c r="K47" s="274"/>
      <c r="L47" s="274"/>
      <c r="M47" s="274"/>
      <c r="N47" s="274"/>
      <c r="O47" s="274"/>
      <c r="P47" s="276"/>
      <c r="Q47" s="266"/>
      <c r="R47" s="274"/>
      <c r="S47" s="274"/>
      <c r="T47" s="274"/>
      <c r="U47" s="274"/>
      <c r="V47" s="274"/>
      <c r="W47" s="274"/>
      <c r="X47" s="274"/>
      <c r="Y47" s="274"/>
      <c r="Z47" s="274"/>
      <c r="AA47" s="274"/>
      <c r="AB47" s="27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</row>
    <row r="48">
      <c r="A48" s="194"/>
      <c r="B48" s="194"/>
      <c r="C48" s="203"/>
      <c r="D48" s="225" t="s">
        <v>186</v>
      </c>
      <c r="E48" s="264"/>
      <c r="F48" s="274"/>
      <c r="G48" s="274"/>
      <c r="H48" s="274"/>
      <c r="I48" s="274"/>
      <c r="J48" s="274"/>
      <c r="K48" s="274"/>
      <c r="L48" s="274"/>
      <c r="M48" s="274"/>
      <c r="N48" s="274"/>
      <c r="O48" s="274"/>
      <c r="P48" s="276"/>
      <c r="Q48" s="266"/>
      <c r="R48" s="274"/>
      <c r="S48" s="274"/>
      <c r="T48" s="274"/>
      <c r="U48" s="274"/>
      <c r="V48" s="274"/>
      <c r="W48" s="274"/>
      <c r="X48" s="274"/>
      <c r="Y48" s="274"/>
      <c r="Z48" s="274"/>
      <c r="AA48" s="274"/>
      <c r="AB48" s="274"/>
      <c r="AC48" s="194"/>
      <c r="AD48" s="194"/>
      <c r="AE48" s="194"/>
      <c r="AF48" s="194"/>
      <c r="AG48" s="194"/>
      <c r="AH48" s="194"/>
      <c r="AI48" s="194"/>
      <c r="AJ48" s="194"/>
      <c r="AK48" s="194"/>
      <c r="AL48" s="194"/>
    </row>
    <row r="49">
      <c r="A49" s="194"/>
      <c r="B49" s="194"/>
      <c r="C49" s="203"/>
      <c r="D49" s="225" t="s">
        <v>187</v>
      </c>
      <c r="E49" s="195"/>
      <c r="F49" s="195">
        <f>'Prévisionnel 2017 SCN1'!G29</f>
        <v>13.64</v>
      </c>
      <c r="G49" s="195"/>
      <c r="H49" s="195"/>
      <c r="I49" s="195">
        <f>'Prévisionnel 2017 SCN1'!J29</f>
        <v>29.72</v>
      </c>
      <c r="J49" s="195"/>
      <c r="K49" s="195"/>
      <c r="L49" s="195"/>
      <c r="M49" s="195">
        <f>'Prévisionnel 2017 SCN1'!N29</f>
        <v>59.72</v>
      </c>
      <c r="N49" s="195"/>
      <c r="O49" s="195"/>
      <c r="P49" s="261">
        <f>'Prévisionnel 2017 SCN1'!Q29</f>
        <v>10.25</v>
      </c>
      <c r="Q49" s="234">
        <v>50.0</v>
      </c>
      <c r="R49" s="195">
        <v>50.0</v>
      </c>
      <c r="S49" s="195">
        <v>50.0</v>
      </c>
      <c r="T49" s="195">
        <v>50.0</v>
      </c>
      <c r="U49" s="195">
        <v>50.0</v>
      </c>
      <c r="V49" s="195">
        <v>50.0</v>
      </c>
      <c r="W49" s="195">
        <v>50.0</v>
      </c>
      <c r="X49" s="195">
        <v>50.0</v>
      </c>
      <c r="Y49" s="195">
        <v>50.0</v>
      </c>
      <c r="Z49" s="195">
        <v>50.0</v>
      </c>
      <c r="AA49" s="195">
        <v>50.0</v>
      </c>
      <c r="AB49" s="195">
        <v>50.0</v>
      </c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</row>
    <row r="50">
      <c r="A50" s="194"/>
      <c r="B50" s="194"/>
      <c r="C50" s="203"/>
      <c r="D50" s="225" t="s">
        <v>188</v>
      </c>
      <c r="E50" s="264"/>
      <c r="F50" s="274"/>
      <c r="G50" s="274"/>
      <c r="H50" s="274"/>
      <c r="I50" s="274"/>
      <c r="J50" s="274"/>
      <c r="K50" s="274"/>
      <c r="L50" s="274"/>
      <c r="M50" s="274"/>
      <c r="N50" s="274"/>
      <c r="O50" s="274"/>
      <c r="P50" s="276"/>
      <c r="Q50" s="266"/>
      <c r="R50" s="274"/>
      <c r="S50" s="274"/>
      <c r="T50" s="274"/>
      <c r="U50" s="274"/>
      <c r="V50" s="274"/>
      <c r="W50" s="274"/>
      <c r="X50" s="274"/>
      <c r="Y50" s="274"/>
      <c r="Z50" s="274"/>
      <c r="AA50" s="274"/>
      <c r="AB50" s="27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</row>
    <row r="51">
      <c r="A51" s="194"/>
      <c r="B51" s="194"/>
      <c r="C51" s="203"/>
      <c r="D51" s="225" t="s">
        <v>189</v>
      </c>
      <c r="E51" s="264"/>
      <c r="F51" s="274"/>
      <c r="G51" s="274"/>
      <c r="H51" s="274"/>
      <c r="I51" s="274"/>
      <c r="J51" s="274"/>
      <c r="K51" s="274"/>
      <c r="L51" s="274"/>
      <c r="M51" s="274"/>
      <c r="N51" s="274"/>
      <c r="O51" s="274"/>
      <c r="P51" s="276"/>
      <c r="Q51" s="234">
        <f>'Prévisionnel 2017 SCN1'!F55</f>
        <v>663.1</v>
      </c>
      <c r="R51" s="195">
        <f>'Prévisionnel 2017 SCN1'!G55</f>
        <v>0</v>
      </c>
      <c r="S51" s="195">
        <f>'Prévisionnel 2017 SCN1'!H55</f>
        <v>0</v>
      </c>
      <c r="T51" s="195" t="str">
        <f>'Prévisionnel 2017 SCN1'!I55</f>
        <v/>
      </c>
      <c r="U51" s="195" t="str">
        <f>'Prévisionnel 2017 SCN1'!J55</f>
        <v/>
      </c>
      <c r="V51" s="195" t="str">
        <f>'Prévisionnel 2017 SCN1'!K55</f>
        <v/>
      </c>
      <c r="W51" s="195" t="str">
        <f>'Prévisionnel 2017 SCN1'!L55</f>
        <v/>
      </c>
      <c r="X51" s="195" t="str">
        <f>'Prévisionnel 2017 SCN1'!M55</f>
        <v/>
      </c>
      <c r="Y51" s="195" t="str">
        <f>'Prévisionnel 2017 SCN1'!N55</f>
        <v/>
      </c>
      <c r="Z51" s="195" t="str">
        <f>'Prévisionnel 2017 SCN1'!O55</f>
        <v/>
      </c>
      <c r="AA51" s="195" t="str">
        <f>'Prévisionnel 2017 SCN1'!P55</f>
        <v/>
      </c>
      <c r="AB51" s="195" t="str">
        <f>'Prévisionnel 2017 SCN1'!Q55</f>
        <v/>
      </c>
      <c r="AC51" s="194"/>
      <c r="AD51" s="194"/>
      <c r="AE51" s="194"/>
      <c r="AF51" s="194"/>
      <c r="AG51" s="194"/>
      <c r="AH51" s="194"/>
      <c r="AI51" s="194"/>
      <c r="AJ51" s="194"/>
      <c r="AK51" s="194"/>
      <c r="AL51" s="194"/>
    </row>
    <row r="52">
      <c r="A52" s="194"/>
      <c r="B52" s="194"/>
      <c r="C52" s="203"/>
      <c r="D52" s="225" t="s">
        <v>190</v>
      </c>
      <c r="E52" s="26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6"/>
      <c r="Q52" s="234"/>
      <c r="R52" s="195"/>
      <c r="S52" s="195"/>
      <c r="T52" s="195"/>
      <c r="U52" s="195"/>
      <c r="V52" s="195"/>
      <c r="W52" s="195"/>
      <c r="X52" s="195"/>
      <c r="Y52" s="195"/>
      <c r="Z52" s="195"/>
      <c r="AA52" s="195"/>
      <c r="AB52" s="195"/>
      <c r="AC52" s="194"/>
      <c r="AD52" s="194"/>
      <c r="AE52" s="194"/>
      <c r="AF52" s="194"/>
      <c r="AG52" s="194"/>
      <c r="AH52" s="194"/>
      <c r="AI52" s="194"/>
      <c r="AJ52" s="194"/>
      <c r="AK52" s="194"/>
      <c r="AL52" s="194"/>
    </row>
    <row r="53">
      <c r="A53" s="194"/>
      <c r="B53" s="194"/>
      <c r="C53" s="203"/>
      <c r="D53" s="225" t="s">
        <v>191</v>
      </c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>
        <f>'Prévisionnel 2017 SCN1'!P12</f>
        <v>327.88</v>
      </c>
      <c r="P53" s="261">
        <f>'Prévisionnel 2017 SCN1'!Q12</f>
        <v>7080.76</v>
      </c>
      <c r="Q53" s="234"/>
      <c r="R53" s="195">
        <f>'Prévisionnel 2017 SCN1'!G56</f>
        <v>0</v>
      </c>
      <c r="S53" s="195">
        <f>'Prévisionnel 2017 SCN1'!H56</f>
        <v>0</v>
      </c>
      <c r="T53" s="195" t="str">
        <f>'Prévisionnel 2017 SCN1'!I56</f>
        <v/>
      </c>
      <c r="U53" s="195" t="str">
        <f>'Prévisionnel 2017 SCN1'!J56</f>
        <v/>
      </c>
      <c r="V53" s="195" t="str">
        <f>'Prévisionnel 2017 SCN1'!K56</f>
        <v/>
      </c>
      <c r="W53" s="195" t="str">
        <f>'Prévisionnel 2017 SCN1'!L56</f>
        <v/>
      </c>
      <c r="X53" s="195" t="str">
        <f>'Prévisionnel 2017 SCN1'!M56</f>
        <v/>
      </c>
      <c r="Y53" s="195" t="str">
        <f>'Prévisionnel 2017 SCN1'!N56</f>
        <v/>
      </c>
      <c r="Z53" s="195" t="str">
        <f>'Prévisionnel 2017 SCN1'!O56</f>
        <v/>
      </c>
      <c r="AA53" s="195" t="str">
        <f>'Prévisionnel 2017 SCN1'!P56</f>
        <v/>
      </c>
      <c r="AB53" s="195" t="str">
        <f>'Prévisionnel 2017 SCN1'!Q56</f>
        <v/>
      </c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</row>
    <row r="54">
      <c r="A54" s="194"/>
      <c r="B54" s="194"/>
      <c r="C54" s="203"/>
      <c r="D54" s="225" t="s">
        <v>192</v>
      </c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261"/>
      <c r="Q54" s="266"/>
      <c r="R54" s="274"/>
      <c r="S54" s="274"/>
      <c r="T54" s="274"/>
      <c r="U54" s="274"/>
      <c r="V54" s="274"/>
      <c r="W54" s="274"/>
      <c r="X54" s="274"/>
      <c r="Y54" s="274"/>
      <c r="Z54" s="274"/>
      <c r="AA54" s="274"/>
      <c r="AB54" s="274"/>
      <c r="AC54" s="194"/>
      <c r="AD54" s="194"/>
      <c r="AE54" s="194"/>
      <c r="AF54" s="194"/>
      <c r="AG54" s="194"/>
      <c r="AH54" s="194"/>
      <c r="AI54" s="194"/>
      <c r="AJ54" s="194"/>
      <c r="AK54" s="194"/>
      <c r="AL54" s="194"/>
    </row>
    <row r="55">
      <c r="A55" s="194"/>
      <c r="B55" s="194"/>
      <c r="C55" s="203"/>
      <c r="D55" s="225" t="s">
        <v>193</v>
      </c>
      <c r="E55" s="195"/>
      <c r="F55" s="195"/>
      <c r="G55" s="195"/>
      <c r="H55" s="195"/>
      <c r="I55" s="195"/>
      <c r="J55" s="195">
        <f>'Prévisionnel 2017 SCN1'!K13</f>
        <v>650</v>
      </c>
      <c r="K55" s="195"/>
      <c r="L55" s="195"/>
      <c r="M55" s="195"/>
      <c r="N55" s="195"/>
      <c r="O55" s="195"/>
      <c r="P55" s="261"/>
      <c r="Q55" s="234"/>
      <c r="R55" s="195"/>
      <c r="S55" s="195"/>
      <c r="T55" s="195"/>
      <c r="U55" s="195"/>
      <c r="V55" s="195"/>
      <c r="W55" s="195"/>
      <c r="X55" s="195"/>
      <c r="Y55" s="195"/>
      <c r="Z55" s="195"/>
      <c r="AA55" s="195"/>
      <c r="AB55" s="195"/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</row>
    <row r="56">
      <c r="A56" s="194"/>
      <c r="B56" s="194"/>
      <c r="C56" s="203"/>
      <c r="D56" s="249" t="s">
        <v>194</v>
      </c>
      <c r="E56" s="195">
        <f>'Prévisionnel 2017 SCN1'!F30</f>
        <v>10</v>
      </c>
      <c r="F56" s="195"/>
      <c r="G56" s="195"/>
      <c r="H56" s="195"/>
      <c r="I56" s="195"/>
      <c r="J56" s="195"/>
      <c r="K56" s="195">
        <f>'Prévisionnel 2017 SCN1'!L30</f>
        <v>100</v>
      </c>
      <c r="L56" s="195">
        <f>'Prévisionnel 2017 SCN1'!M30</f>
        <v>70.75</v>
      </c>
      <c r="M56" s="195">
        <f>'Prévisionnel 2017 SCN1'!N30</f>
        <v>66.61</v>
      </c>
      <c r="N56" s="195">
        <f>'Prévisionnel 2017 SCN1'!O30</f>
        <v>97.68</v>
      </c>
      <c r="O56" s="195"/>
      <c r="P56" s="261">
        <f>'Prévisionnel 2017 SCN1'!Q30</f>
        <v>3951.92</v>
      </c>
      <c r="Q56" s="234">
        <f>'Prévisionnel 2017 SCN1'!F74</f>
        <v>0</v>
      </c>
      <c r="R56" s="195">
        <f>'Prévisionnel 2017 SCN1'!G74</f>
        <v>0</v>
      </c>
      <c r="S56" s="195">
        <f>'Prévisionnel 2017 SCN1'!H74</f>
        <v>0</v>
      </c>
      <c r="T56" s="195">
        <f>'Prévisionnel 2017 SCN1'!I74</f>
        <v>50</v>
      </c>
      <c r="U56" s="195">
        <f>'Prévisionnel 2017 SCN1'!J74</f>
        <v>50</v>
      </c>
      <c r="V56" s="195">
        <f>'Prévisionnel 2017 SCN1'!K74</f>
        <v>50</v>
      </c>
      <c r="W56" s="195">
        <f>'Prévisionnel 2017 SCN1'!L74</f>
        <v>50</v>
      </c>
      <c r="X56" s="195">
        <f>'Prévisionnel 2017 SCN1'!M74</f>
        <v>50</v>
      </c>
      <c r="Y56" s="195">
        <f>'Prévisionnel 2017 SCN1'!N74</f>
        <v>50</v>
      </c>
      <c r="Z56" s="195">
        <f>'Prévisionnel 2017 SCN1'!O74</f>
        <v>50</v>
      </c>
      <c r="AA56" s="195">
        <f>'Prévisionnel 2017 SCN1'!P74</f>
        <v>50</v>
      </c>
      <c r="AB56" s="195">
        <f>'Prévisionnel 2017 SCN1'!Q74</f>
        <v>50</v>
      </c>
      <c r="AC56" s="194"/>
      <c r="AD56" s="194"/>
      <c r="AE56" s="194"/>
      <c r="AF56" s="194"/>
      <c r="AG56" s="194"/>
      <c r="AH56" s="194"/>
      <c r="AI56" s="194"/>
      <c r="AJ56" s="194"/>
      <c r="AK56" s="194"/>
      <c r="AL56" s="194"/>
    </row>
    <row r="57">
      <c r="A57" s="194"/>
      <c r="B57" s="194"/>
      <c r="C57" s="203"/>
      <c r="D57" s="249" t="s">
        <v>195</v>
      </c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261"/>
      <c r="Q57" s="234">
        <f>'Prévisionnel 2017 SCN1'!F75</f>
        <v>703.6377083</v>
      </c>
      <c r="R57" s="234">
        <f>'Prévisionnel 2017 SCN1'!G75</f>
        <v>703.6377083</v>
      </c>
      <c r="S57" s="234">
        <f>'Prévisionnel 2017 SCN1'!H75</f>
        <v>703.6377083</v>
      </c>
      <c r="T57" s="234">
        <f>'Prévisionnel 2017 SCN1'!I75</f>
        <v>703.6377083</v>
      </c>
      <c r="U57" s="234">
        <f>'Prévisionnel 2017 SCN1'!J75</f>
        <v>703.6377083</v>
      </c>
      <c r="V57" s="234">
        <f>'Prévisionnel 2017 SCN1'!K75</f>
        <v>703.6377083</v>
      </c>
      <c r="W57" s="234">
        <f>'Prévisionnel 2017 SCN1'!L75</f>
        <v>703.6377083</v>
      </c>
      <c r="X57" s="234">
        <f>'Prévisionnel 2017 SCN1'!M75</f>
        <v>703.6377083</v>
      </c>
      <c r="Y57" s="234">
        <f>'Prévisionnel 2017 SCN1'!N75</f>
        <v>703.6377083</v>
      </c>
      <c r="Z57" s="234">
        <f>'Prévisionnel 2017 SCN1'!O75</f>
        <v>703.6377083</v>
      </c>
      <c r="AA57" s="234">
        <f>'Prévisionnel 2017 SCN1'!P75</f>
        <v>703.6377083</v>
      </c>
      <c r="AB57" s="234">
        <f>'Prévisionnel 2017 SCN1'!Q75</f>
        <v>703.6377083</v>
      </c>
      <c r="AC57" s="194"/>
      <c r="AD57" s="194"/>
      <c r="AE57" s="194"/>
      <c r="AF57" s="194"/>
      <c r="AG57" s="194"/>
      <c r="AH57" s="194"/>
      <c r="AI57" s="194"/>
      <c r="AJ57" s="194"/>
      <c r="AK57" s="194"/>
      <c r="AL57" s="194"/>
    </row>
    <row r="58">
      <c r="A58" s="194"/>
      <c r="B58" s="194"/>
      <c r="C58" s="203"/>
      <c r="D58" s="225" t="s">
        <v>196</v>
      </c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261"/>
      <c r="Q58" s="266"/>
      <c r="R58" s="264"/>
      <c r="S58" s="264"/>
      <c r="T58" s="264"/>
      <c r="U58" s="264"/>
      <c r="V58" s="264"/>
      <c r="W58" s="264"/>
      <c r="X58" s="264"/>
      <c r="Y58" s="264"/>
      <c r="Z58" s="264"/>
      <c r="AA58" s="264"/>
      <c r="AB58" s="264"/>
      <c r="AC58" s="194"/>
      <c r="AD58" s="194"/>
      <c r="AE58" s="194"/>
      <c r="AF58" s="194"/>
      <c r="AG58" s="194"/>
      <c r="AH58" s="194"/>
      <c r="AI58" s="194"/>
      <c r="AJ58" s="194"/>
      <c r="AK58" s="194"/>
      <c r="AL58" s="194"/>
    </row>
    <row r="59">
      <c r="A59" s="194"/>
      <c r="B59" s="194"/>
      <c r="C59" s="203"/>
      <c r="D59" s="253" t="s">
        <v>197</v>
      </c>
      <c r="E59" s="195">
        <f t="shared" ref="E59:AB59" si="6">SUM(E46:E58)</f>
        <v>10</v>
      </c>
      <c r="F59" s="195">
        <f t="shared" si="6"/>
        <v>13.64</v>
      </c>
      <c r="G59" s="195">
        <f t="shared" si="6"/>
        <v>0</v>
      </c>
      <c r="H59" s="195">
        <f t="shared" si="6"/>
        <v>0</v>
      </c>
      <c r="I59" s="195">
        <f t="shared" si="6"/>
        <v>29.72</v>
      </c>
      <c r="J59" s="195">
        <f t="shared" si="6"/>
        <v>650</v>
      </c>
      <c r="K59" s="195">
        <f t="shared" si="6"/>
        <v>100</v>
      </c>
      <c r="L59" s="195">
        <f t="shared" si="6"/>
        <v>70.75</v>
      </c>
      <c r="M59" s="195">
        <f t="shared" si="6"/>
        <v>126.33</v>
      </c>
      <c r="N59" s="195">
        <f t="shared" si="6"/>
        <v>97.68</v>
      </c>
      <c r="O59" s="195">
        <f t="shared" si="6"/>
        <v>327.88</v>
      </c>
      <c r="P59" s="261">
        <f t="shared" si="6"/>
        <v>11042.93</v>
      </c>
      <c r="Q59" s="234">
        <f t="shared" si="6"/>
        <v>1416.737708</v>
      </c>
      <c r="R59" s="195">
        <f t="shared" si="6"/>
        <v>753.6377083</v>
      </c>
      <c r="S59" s="195">
        <f t="shared" si="6"/>
        <v>753.6377083</v>
      </c>
      <c r="T59" s="195">
        <f t="shared" si="6"/>
        <v>803.6377083</v>
      </c>
      <c r="U59" s="195">
        <f t="shared" si="6"/>
        <v>803.6377083</v>
      </c>
      <c r="V59" s="195">
        <f t="shared" si="6"/>
        <v>803.6377083</v>
      </c>
      <c r="W59" s="195">
        <f t="shared" si="6"/>
        <v>803.6377083</v>
      </c>
      <c r="X59" s="195">
        <f t="shared" si="6"/>
        <v>803.6377083</v>
      </c>
      <c r="Y59" s="195">
        <f t="shared" si="6"/>
        <v>803.6377083</v>
      </c>
      <c r="Z59" s="195">
        <f t="shared" si="6"/>
        <v>803.6377083</v>
      </c>
      <c r="AA59" s="195">
        <f t="shared" si="6"/>
        <v>803.6377083</v>
      </c>
      <c r="AB59" s="195">
        <f t="shared" si="6"/>
        <v>803.6377083</v>
      </c>
      <c r="AC59" s="194"/>
      <c r="AD59" s="194"/>
      <c r="AE59" s="194"/>
      <c r="AF59" s="194"/>
      <c r="AG59" s="194"/>
      <c r="AH59" s="194"/>
      <c r="AI59" s="194"/>
      <c r="AJ59" s="194"/>
      <c r="AK59" s="194"/>
      <c r="AL59" s="194"/>
    </row>
    <row r="60">
      <c r="A60" s="194"/>
      <c r="B60" s="194"/>
      <c r="C60" s="203"/>
      <c r="D60" s="256" t="s">
        <v>198</v>
      </c>
      <c r="E60" s="279">
        <f t="shared" ref="E60:AB60" si="7">E44+E59</f>
        <v>2126.29</v>
      </c>
      <c r="F60" s="279">
        <f t="shared" si="7"/>
        <v>2693.79</v>
      </c>
      <c r="G60" s="279">
        <f t="shared" si="7"/>
        <v>2765.99</v>
      </c>
      <c r="H60" s="279">
        <f t="shared" si="7"/>
        <v>3610.04</v>
      </c>
      <c r="I60" s="279">
        <f t="shared" si="7"/>
        <v>3693.31</v>
      </c>
      <c r="J60" s="279">
        <f t="shared" si="7"/>
        <v>4974.57</v>
      </c>
      <c r="K60" s="279">
        <f t="shared" si="7"/>
        <v>2832.41</v>
      </c>
      <c r="L60" s="279">
        <f t="shared" si="7"/>
        <v>4516.61</v>
      </c>
      <c r="M60" s="279">
        <f t="shared" si="7"/>
        <v>5291.31</v>
      </c>
      <c r="N60" s="279">
        <f t="shared" si="7"/>
        <v>7732.77</v>
      </c>
      <c r="O60" s="279">
        <f t="shared" si="7"/>
        <v>11200.61</v>
      </c>
      <c r="P60" s="280">
        <f t="shared" si="7"/>
        <v>22825.06</v>
      </c>
      <c r="Q60" s="281">
        <f t="shared" si="7"/>
        <v>18393.62771</v>
      </c>
      <c r="R60" s="281">
        <f t="shared" si="7"/>
        <v>20012.10771</v>
      </c>
      <c r="S60" s="281">
        <f t="shared" si="7"/>
        <v>23026.46771</v>
      </c>
      <c r="T60" s="281">
        <f t="shared" si="7"/>
        <v>32611.42771</v>
      </c>
      <c r="U60" s="281">
        <f t="shared" si="7"/>
        <v>25928.42771</v>
      </c>
      <c r="V60" s="281">
        <f t="shared" si="7"/>
        <v>24561.42771</v>
      </c>
      <c r="W60" s="281">
        <f t="shared" si="7"/>
        <v>5756.427708</v>
      </c>
      <c r="X60" s="281">
        <f t="shared" si="7"/>
        <v>5743.427708</v>
      </c>
      <c r="Y60" s="281">
        <f t="shared" si="7"/>
        <v>3740.427708</v>
      </c>
      <c r="Z60" s="281">
        <f t="shared" si="7"/>
        <v>6261.427708</v>
      </c>
      <c r="AA60" s="281">
        <f t="shared" si="7"/>
        <v>5440.427708</v>
      </c>
      <c r="AB60" s="282">
        <f t="shared" si="7"/>
        <v>5093.427708</v>
      </c>
      <c r="AC60" s="194"/>
      <c r="AD60" s="194"/>
      <c r="AE60" s="194"/>
      <c r="AF60" s="194"/>
      <c r="AG60" s="194"/>
      <c r="AH60" s="194"/>
      <c r="AI60" s="194"/>
      <c r="AJ60" s="194"/>
      <c r="AK60" s="194"/>
      <c r="AL60" s="194"/>
    </row>
    <row r="61">
      <c r="A61" s="194"/>
      <c r="B61" s="194"/>
      <c r="C61" s="203"/>
      <c r="D61" s="283" t="s">
        <v>199</v>
      </c>
      <c r="E61" s="284">
        <f t="shared" ref="E61:AB61" si="8">E17-E60</f>
        <v>742.19</v>
      </c>
      <c r="F61" s="284">
        <f t="shared" si="8"/>
        <v>805.19</v>
      </c>
      <c r="G61" s="284">
        <f t="shared" si="8"/>
        <v>1235.26</v>
      </c>
      <c r="H61" s="284">
        <f t="shared" si="8"/>
        <v>513.32</v>
      </c>
      <c r="I61" s="284">
        <f t="shared" si="8"/>
        <v>463.05</v>
      </c>
      <c r="J61" s="284">
        <f t="shared" si="8"/>
        <v>-19.6</v>
      </c>
      <c r="K61" s="284">
        <f t="shared" si="8"/>
        <v>-462.06</v>
      </c>
      <c r="L61" s="284">
        <f t="shared" si="8"/>
        <v>-1349.32</v>
      </c>
      <c r="M61" s="284">
        <f t="shared" si="8"/>
        <v>4049.67</v>
      </c>
      <c r="N61" s="284">
        <f t="shared" si="8"/>
        <v>2459.32</v>
      </c>
      <c r="O61" s="284">
        <f t="shared" si="8"/>
        <v>2104.36</v>
      </c>
      <c r="P61" s="285">
        <f t="shared" si="8"/>
        <v>-8628.16</v>
      </c>
      <c r="Q61" s="284">
        <f t="shared" si="8"/>
        <v>17084.46229</v>
      </c>
      <c r="R61" s="284">
        <f t="shared" si="8"/>
        <v>2879.912292</v>
      </c>
      <c r="S61" s="284">
        <f t="shared" si="8"/>
        <v>4780.652292</v>
      </c>
      <c r="T61" s="284">
        <f t="shared" si="8"/>
        <v>-2899.147708</v>
      </c>
      <c r="U61" s="284">
        <f t="shared" si="8"/>
        <v>2380.352292</v>
      </c>
      <c r="V61" s="284">
        <f t="shared" si="8"/>
        <v>3568.052292</v>
      </c>
      <c r="W61" s="284">
        <f t="shared" si="8"/>
        <v>-2447.647708</v>
      </c>
      <c r="X61" s="284">
        <f t="shared" si="8"/>
        <v>-2434.647708</v>
      </c>
      <c r="Y61" s="284">
        <f t="shared" si="8"/>
        <v>-431.6477083</v>
      </c>
      <c r="Z61" s="284">
        <f t="shared" si="8"/>
        <v>-1864.147708</v>
      </c>
      <c r="AA61" s="284">
        <f t="shared" si="8"/>
        <v>-2131.647708</v>
      </c>
      <c r="AB61" s="286">
        <f t="shared" si="8"/>
        <v>-1784.647708</v>
      </c>
      <c r="AC61" s="194"/>
      <c r="AD61" s="194"/>
      <c r="AE61" s="194"/>
      <c r="AF61" s="194"/>
      <c r="AG61" s="194"/>
      <c r="AH61" s="194"/>
      <c r="AI61" s="194"/>
      <c r="AJ61" s="194"/>
      <c r="AK61" s="194"/>
      <c r="AL61" s="194"/>
    </row>
    <row r="62">
      <c r="A62" s="194"/>
      <c r="B62" s="194"/>
      <c r="C62" s="203"/>
      <c r="D62" s="287" t="s">
        <v>200</v>
      </c>
      <c r="E62" s="288">
        <f t="shared" ref="E62:AB62" si="9">E6+E61</f>
        <v>2942.19</v>
      </c>
      <c r="F62" s="288">
        <f t="shared" si="9"/>
        <v>3747.38</v>
      </c>
      <c r="G62" s="288">
        <f t="shared" si="9"/>
        <v>4982.64</v>
      </c>
      <c r="H62" s="288">
        <f t="shared" si="9"/>
        <v>5495.96</v>
      </c>
      <c r="I62" s="288">
        <f t="shared" si="9"/>
        <v>5959.01</v>
      </c>
      <c r="J62" s="288">
        <f t="shared" si="9"/>
        <v>5939.41</v>
      </c>
      <c r="K62" s="288">
        <f t="shared" si="9"/>
        <v>5477.35</v>
      </c>
      <c r="L62" s="288">
        <f t="shared" si="9"/>
        <v>4128.03</v>
      </c>
      <c r="M62" s="288">
        <f t="shared" si="9"/>
        <v>8177.7</v>
      </c>
      <c r="N62" s="288">
        <f t="shared" si="9"/>
        <v>10637.02</v>
      </c>
      <c r="O62" s="288">
        <f t="shared" si="9"/>
        <v>12741.38</v>
      </c>
      <c r="P62" s="289">
        <f t="shared" si="9"/>
        <v>4113.22</v>
      </c>
      <c r="Q62" s="288">
        <f t="shared" si="9"/>
        <v>21197.68229</v>
      </c>
      <c r="R62" s="288">
        <f t="shared" si="9"/>
        <v>24077.59458</v>
      </c>
      <c r="S62" s="288">
        <f t="shared" si="9"/>
        <v>28858.24688</v>
      </c>
      <c r="T62" s="288">
        <f t="shared" si="9"/>
        <v>25959.09917</v>
      </c>
      <c r="U62" s="288">
        <f t="shared" si="9"/>
        <v>28339.45146</v>
      </c>
      <c r="V62" s="288">
        <f t="shared" si="9"/>
        <v>31907.50375</v>
      </c>
      <c r="W62" s="288">
        <f t="shared" si="9"/>
        <v>29459.85604</v>
      </c>
      <c r="X62" s="288">
        <f t="shared" si="9"/>
        <v>27025.20833</v>
      </c>
      <c r="Y62" s="288">
        <f t="shared" si="9"/>
        <v>26593.56063</v>
      </c>
      <c r="Z62" s="288">
        <f t="shared" si="9"/>
        <v>24729.41292</v>
      </c>
      <c r="AA62" s="288">
        <f t="shared" si="9"/>
        <v>22597.76521</v>
      </c>
      <c r="AB62" s="290">
        <f t="shared" si="9"/>
        <v>20813.1175</v>
      </c>
      <c r="AC62" s="194"/>
      <c r="AD62" s="194"/>
      <c r="AE62" s="194"/>
      <c r="AF62" s="194"/>
      <c r="AG62" s="194"/>
      <c r="AH62" s="194"/>
      <c r="AI62" s="194"/>
      <c r="AJ62" s="194"/>
      <c r="AK62" s="194"/>
      <c r="AL62" s="194"/>
    </row>
    <row r="63">
      <c r="A63" s="194"/>
      <c r="B63" s="194"/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6"/>
      <c r="Q63" s="194"/>
      <c r="R63" s="194"/>
      <c r="S63" s="194"/>
      <c r="T63" s="194"/>
      <c r="U63" s="194"/>
      <c r="V63" s="194"/>
      <c r="W63" s="194"/>
      <c r="X63" s="194"/>
      <c r="Y63" s="194"/>
      <c r="Z63" s="194"/>
      <c r="AA63" s="194"/>
      <c r="AB63" s="194"/>
      <c r="AC63" s="194"/>
      <c r="AD63" s="194"/>
      <c r="AE63" s="194"/>
      <c r="AF63" s="194"/>
      <c r="AG63" s="194"/>
      <c r="AH63" s="194"/>
      <c r="AI63" s="194"/>
      <c r="AJ63" s="194"/>
      <c r="AK63" s="194"/>
      <c r="AL63" s="194"/>
    </row>
    <row r="64">
      <c r="A64" s="194"/>
      <c r="B64" s="194"/>
      <c r="C64" s="194"/>
      <c r="D64" s="291" t="s">
        <v>201</v>
      </c>
      <c r="E64" s="291"/>
      <c r="F64" s="291"/>
      <c r="G64" s="291"/>
      <c r="H64" s="291"/>
      <c r="I64" s="291"/>
      <c r="J64" s="291"/>
      <c r="K64" s="291"/>
      <c r="L64" s="291"/>
      <c r="M64" s="291"/>
      <c r="N64" s="291"/>
      <c r="O64" s="291"/>
      <c r="P64" s="292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194"/>
      <c r="AK64" s="194"/>
      <c r="AL64" s="194"/>
    </row>
    <row r="65">
      <c r="A65" s="194"/>
      <c r="B65" s="194"/>
      <c r="C65" s="194"/>
      <c r="D65" s="293" t="s">
        <v>202</v>
      </c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194"/>
      <c r="Z65" s="194"/>
      <c r="AA65" s="194"/>
      <c r="AB65" s="194"/>
      <c r="AC65" s="194"/>
      <c r="AD65" s="194"/>
      <c r="AE65" s="194"/>
      <c r="AF65" s="194"/>
      <c r="AG65" s="194"/>
      <c r="AH65" s="194"/>
      <c r="AI65" s="194"/>
      <c r="AJ65" s="194"/>
      <c r="AK65" s="194"/>
      <c r="AL65" s="194"/>
    </row>
    <row r="66">
      <c r="A66" s="194"/>
      <c r="B66" s="194"/>
      <c r="C66" s="194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6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194"/>
      <c r="AK66" s="194"/>
      <c r="AL66" s="194"/>
    </row>
    <row r="67">
      <c r="A67" s="194"/>
      <c r="B67" s="194"/>
      <c r="C67" s="194"/>
      <c r="D67" s="294" t="s">
        <v>203</v>
      </c>
      <c r="E67" s="294"/>
      <c r="F67" s="294"/>
      <c r="G67" s="294"/>
      <c r="H67" s="294"/>
      <c r="I67" s="294"/>
      <c r="J67" s="294"/>
      <c r="K67" s="294"/>
      <c r="L67" s="294"/>
      <c r="M67" s="294"/>
      <c r="N67" s="294"/>
      <c r="O67" s="294"/>
      <c r="P67" s="295"/>
      <c r="Q67" s="194"/>
      <c r="R67" s="194"/>
      <c r="S67" s="194"/>
      <c r="T67" s="194"/>
      <c r="U67" s="194"/>
      <c r="V67" s="194"/>
      <c r="W67" s="194"/>
      <c r="X67" s="194"/>
      <c r="Y67" s="194"/>
      <c r="Z67" s="194"/>
      <c r="AA67" s="194"/>
      <c r="AB67" s="194"/>
      <c r="AC67" s="194"/>
      <c r="AD67" s="194"/>
      <c r="AE67" s="194"/>
      <c r="AF67" s="194"/>
      <c r="AG67" s="194"/>
      <c r="AH67" s="194"/>
      <c r="AI67" s="194"/>
      <c r="AJ67" s="194"/>
      <c r="AK67" s="194"/>
      <c r="AL67" s="194"/>
    </row>
    <row r="68">
      <c r="A68" s="194"/>
      <c r="B68" s="194"/>
      <c r="C68" s="194"/>
      <c r="D68" s="296" t="s">
        <v>204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194"/>
      <c r="AB68" s="194"/>
      <c r="AC68" s="194"/>
      <c r="AD68" s="194"/>
      <c r="AE68" s="194"/>
      <c r="AF68" s="194"/>
      <c r="AG68" s="194"/>
      <c r="AH68" s="194"/>
      <c r="AI68" s="194"/>
      <c r="AJ68" s="194"/>
      <c r="AK68" s="194"/>
      <c r="AL68" s="194"/>
    </row>
    <row r="69">
      <c r="A69" s="194"/>
      <c r="B69" s="194"/>
      <c r="C69" s="194"/>
      <c r="D69" s="13"/>
      <c r="AA69" s="194"/>
      <c r="AB69" s="194"/>
      <c r="AC69" s="194"/>
      <c r="AD69" s="194"/>
      <c r="AE69" s="194"/>
      <c r="AF69" s="194"/>
      <c r="AG69" s="194"/>
      <c r="AH69" s="194"/>
      <c r="AI69" s="194"/>
      <c r="AJ69" s="194"/>
      <c r="AK69" s="194"/>
      <c r="AL69" s="194"/>
    </row>
    <row r="70">
      <c r="A70" s="194"/>
      <c r="B70" s="194"/>
      <c r="C70" s="194"/>
      <c r="D70" s="1"/>
      <c r="Y70" s="194"/>
      <c r="Z70" s="194"/>
      <c r="AA70" s="194"/>
      <c r="AB70" s="194"/>
      <c r="AC70" s="194"/>
      <c r="AD70" s="194"/>
      <c r="AE70" s="194"/>
      <c r="AF70" s="194"/>
      <c r="AG70" s="194"/>
      <c r="AH70" s="194"/>
      <c r="AI70" s="194"/>
      <c r="AJ70" s="194"/>
      <c r="AK70" s="194"/>
      <c r="AL70" s="194"/>
    </row>
    <row r="71">
      <c r="A71" s="194"/>
      <c r="B71" s="194"/>
      <c r="C71" s="194"/>
      <c r="D71" s="297" t="s">
        <v>205</v>
      </c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194"/>
      <c r="AB71" s="194"/>
      <c r="AC71" s="194"/>
      <c r="AD71" s="194"/>
      <c r="AE71" s="194"/>
      <c r="AF71" s="194"/>
      <c r="AG71" s="194"/>
      <c r="AH71" s="194"/>
      <c r="AI71" s="194"/>
      <c r="AJ71" s="194"/>
      <c r="AK71" s="194"/>
      <c r="AL71" s="194"/>
    </row>
    <row r="72">
      <c r="A72" s="1"/>
      <c r="X72" s="194"/>
      <c r="Y72" s="194"/>
      <c r="Z72" s="194"/>
      <c r="AA72" s="194"/>
      <c r="AB72" s="194"/>
      <c r="AC72" s="194"/>
      <c r="AD72" s="194"/>
      <c r="AE72" s="194"/>
      <c r="AF72" s="194"/>
      <c r="AG72" s="194"/>
      <c r="AH72" s="194"/>
      <c r="AI72" s="194"/>
      <c r="AJ72" s="194"/>
      <c r="AK72" s="194"/>
      <c r="AL72" s="1"/>
    </row>
    <row r="73">
      <c r="A73" s="194"/>
      <c r="B73" s="194"/>
      <c r="C73" s="194"/>
      <c r="D73" s="298" t="s">
        <v>206</v>
      </c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194"/>
      <c r="Z73" s="194"/>
      <c r="AA73" s="194"/>
      <c r="AB73" s="194"/>
      <c r="AC73" s="194"/>
      <c r="AD73" s="194"/>
      <c r="AE73" s="194"/>
      <c r="AF73" s="194"/>
      <c r="AG73" s="194"/>
      <c r="AH73" s="194"/>
      <c r="AI73" s="194"/>
      <c r="AJ73" s="194"/>
      <c r="AK73" s="194"/>
      <c r="AL73" s="194"/>
    </row>
    <row r="74">
      <c r="A74" s="194"/>
      <c r="B74" s="194"/>
      <c r="C74" s="194"/>
      <c r="D74" s="1"/>
      <c r="Y74" s="194"/>
      <c r="Z74" s="194"/>
      <c r="AA74" s="194"/>
      <c r="AB74" s="194"/>
      <c r="AC74" s="194"/>
      <c r="AD74" s="194"/>
      <c r="AE74" s="194"/>
      <c r="AF74" s="194"/>
      <c r="AG74" s="194"/>
      <c r="AH74" s="194"/>
      <c r="AI74" s="194"/>
      <c r="AJ74" s="194"/>
      <c r="AK74" s="194"/>
      <c r="AL74" s="194"/>
    </row>
    <row r="75">
      <c r="A75" s="194"/>
      <c r="B75" s="194"/>
      <c r="C75" s="194"/>
      <c r="D75" s="194"/>
      <c r="E75" s="194"/>
      <c r="F75" s="194"/>
      <c r="G75" s="194"/>
      <c r="H75" s="194"/>
      <c r="I75" s="194"/>
      <c r="J75" s="194"/>
      <c r="K75" s="194"/>
      <c r="L75" s="194"/>
      <c r="M75" s="194"/>
      <c r="N75" s="194"/>
      <c r="O75" s="194"/>
      <c r="P75" s="196"/>
      <c r="Q75" s="194"/>
      <c r="R75" s="194"/>
      <c r="S75" s="194"/>
      <c r="T75" s="194"/>
      <c r="U75" s="194"/>
      <c r="V75" s="194"/>
      <c r="W75" s="194"/>
      <c r="X75" s="194"/>
      <c r="Y75" s="194"/>
      <c r="Z75" s="194"/>
      <c r="AA75" s="299"/>
      <c r="AB75" s="194"/>
      <c r="AC75" s="194"/>
      <c r="AD75" s="194"/>
      <c r="AE75" s="194"/>
      <c r="AF75" s="194"/>
      <c r="AG75" s="194"/>
      <c r="AH75" s="194"/>
      <c r="AI75" s="194"/>
      <c r="AJ75" s="194"/>
      <c r="AK75" s="194"/>
      <c r="AL75" s="194"/>
    </row>
    <row r="76">
      <c r="A76" s="194"/>
      <c r="B76" s="194"/>
      <c r="C76" s="299"/>
      <c r="D76" s="1"/>
      <c r="Y76" s="194"/>
      <c r="Z76" s="194"/>
      <c r="AA76" s="194"/>
      <c r="AB76" s="194"/>
      <c r="AC76" s="194"/>
      <c r="AD76" s="194"/>
      <c r="AE76" s="194"/>
      <c r="AF76" s="194"/>
      <c r="AG76" s="194"/>
      <c r="AH76" s="194"/>
      <c r="AI76" s="194"/>
      <c r="AJ76" s="194"/>
      <c r="AK76" s="194"/>
      <c r="AL76" s="194"/>
    </row>
    <row r="77">
      <c r="A77" s="194"/>
      <c r="B77" s="194"/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6"/>
      <c r="Q77" s="194"/>
      <c r="R77" s="194"/>
      <c r="S77" s="194"/>
      <c r="T77" s="194"/>
      <c r="U77" s="194"/>
      <c r="V77" s="194"/>
      <c r="W77" s="194"/>
      <c r="X77" s="194"/>
      <c r="Y77" s="194"/>
      <c r="Z77" s="194"/>
      <c r="AA77" s="299"/>
      <c r="AB77" s="194"/>
      <c r="AC77" s="194"/>
      <c r="AD77" s="194"/>
      <c r="AE77" s="194"/>
      <c r="AF77" s="194"/>
      <c r="AG77" s="194"/>
      <c r="AH77" s="194"/>
      <c r="AI77" s="194"/>
      <c r="AJ77" s="194"/>
      <c r="AK77" s="194"/>
      <c r="AL77" s="194"/>
    </row>
    <row r="78">
      <c r="A78" s="194"/>
      <c r="B78" s="194"/>
      <c r="C78" s="299"/>
      <c r="D78" s="194"/>
      <c r="E78" s="194"/>
      <c r="F78" s="194"/>
      <c r="G78" s="194"/>
      <c r="H78" s="194"/>
      <c r="I78" s="194"/>
      <c r="J78" s="194"/>
      <c r="K78" s="194"/>
      <c r="L78" s="194"/>
      <c r="M78" s="194"/>
      <c r="N78" s="194"/>
      <c r="O78" s="194"/>
      <c r="P78" s="196"/>
      <c r="Q78" s="194"/>
      <c r="R78" s="194"/>
      <c r="S78" s="194"/>
      <c r="T78" s="194"/>
      <c r="U78" s="194"/>
      <c r="V78" s="194"/>
      <c r="W78" s="194"/>
      <c r="X78" s="194"/>
      <c r="Y78" s="194"/>
      <c r="Z78" s="194"/>
      <c r="AA78" s="194"/>
      <c r="AB78" s="194"/>
      <c r="AC78" s="194"/>
      <c r="AD78" s="194"/>
      <c r="AE78" s="194"/>
      <c r="AF78" s="194"/>
      <c r="AG78" s="194"/>
      <c r="AH78" s="194"/>
      <c r="AI78" s="194"/>
      <c r="AJ78" s="194"/>
      <c r="AK78" s="194"/>
      <c r="AL78" s="194"/>
    </row>
    <row r="79">
      <c r="A79" s="194"/>
      <c r="B79" s="194"/>
      <c r="C79" s="194"/>
      <c r="D79" s="194"/>
      <c r="E79" s="194"/>
      <c r="F79" s="194"/>
      <c r="G79" s="194"/>
      <c r="H79" s="194"/>
      <c r="I79" s="194"/>
      <c r="J79" s="194"/>
      <c r="K79" s="194"/>
      <c r="L79" s="194"/>
      <c r="M79" s="194"/>
      <c r="N79" s="194"/>
      <c r="O79" s="194"/>
      <c r="P79" s="196"/>
      <c r="Q79" s="194"/>
      <c r="R79" s="194"/>
      <c r="S79" s="194"/>
      <c r="T79" s="194"/>
      <c r="U79" s="194"/>
      <c r="V79" s="194"/>
      <c r="W79" s="194"/>
      <c r="X79" s="194"/>
      <c r="Y79" s="194"/>
      <c r="Z79" s="194"/>
      <c r="AA79" s="194"/>
      <c r="AB79" s="194"/>
      <c r="AC79" s="194"/>
      <c r="AD79" s="194"/>
      <c r="AE79" s="194"/>
      <c r="AF79" s="194"/>
      <c r="AG79" s="194"/>
      <c r="AH79" s="194"/>
      <c r="AI79" s="194"/>
      <c r="AJ79" s="194"/>
      <c r="AK79" s="194"/>
      <c r="AL79" s="194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300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300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</sheetData>
  <mergeCells count="41">
    <mergeCell ref="Z4:Z5"/>
    <mergeCell ref="Y4:Y5"/>
    <mergeCell ref="Q19:AB20"/>
    <mergeCell ref="T4:T5"/>
    <mergeCell ref="S4:S5"/>
    <mergeCell ref="Q18:AB18"/>
    <mergeCell ref="V4:V5"/>
    <mergeCell ref="H4:H5"/>
    <mergeCell ref="Q7:AB8"/>
    <mergeCell ref="F4:F5"/>
    <mergeCell ref="A72:W72"/>
    <mergeCell ref="D73:X73"/>
    <mergeCell ref="D74:X74"/>
    <mergeCell ref="D76:X76"/>
    <mergeCell ref="D65:X65"/>
    <mergeCell ref="Q45:AB45"/>
    <mergeCell ref="Q4:Q5"/>
    <mergeCell ref="R4:R5"/>
    <mergeCell ref="D68:Z69"/>
    <mergeCell ref="D70:X70"/>
    <mergeCell ref="D71:Z71"/>
    <mergeCell ref="G4:G5"/>
    <mergeCell ref="E18:P18"/>
    <mergeCell ref="N4:N5"/>
    <mergeCell ref="L4:L5"/>
    <mergeCell ref="M4:M5"/>
    <mergeCell ref="E7:P8"/>
    <mergeCell ref="E4:E5"/>
    <mergeCell ref="E19:P20"/>
    <mergeCell ref="E45:P45"/>
    <mergeCell ref="J4:J5"/>
    <mergeCell ref="K4:K5"/>
    <mergeCell ref="O4:O5"/>
    <mergeCell ref="P4:P5"/>
    <mergeCell ref="I4:I5"/>
    <mergeCell ref="AB4:AB5"/>
    <mergeCell ref="Q1:AB1"/>
    <mergeCell ref="U4:U5"/>
    <mergeCell ref="AA4:AA5"/>
    <mergeCell ref="W4:W5"/>
    <mergeCell ref="X4:X5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1.22" defaultRowHeight="15.0"/>
  <cols>
    <col customWidth="1" hidden="1" min="1" max="2" width="7.67"/>
    <col customWidth="1" min="3" max="3" width="6.67"/>
    <col customWidth="1" min="4" max="4" width="27.22"/>
    <col customWidth="1" min="5" max="5" width="10.67"/>
    <col customWidth="1" min="6" max="17" width="12.11"/>
    <col customWidth="1" min="18" max="18" width="72.11"/>
    <col customWidth="1" min="19" max="28" width="7.67"/>
  </cols>
  <sheetData>
    <row r="1" ht="41.25" customHeight="1">
      <c r="A1" s="4"/>
      <c r="B1" s="4"/>
      <c r="C1" s="6"/>
      <c r="D1" s="24" t="s">
        <v>2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8"/>
      <c r="R1" s="4"/>
      <c r="S1" s="1"/>
      <c r="T1" s="1"/>
      <c r="U1" s="1"/>
      <c r="V1" s="1"/>
      <c r="W1" s="1"/>
      <c r="X1" s="1"/>
      <c r="Y1" s="1"/>
      <c r="Z1" s="1"/>
      <c r="AA1" s="1"/>
      <c r="AB1" s="1"/>
    </row>
    <row r="2" ht="13.5" customHeight="1">
      <c r="A2" s="26" t="s">
        <v>12</v>
      </c>
      <c r="B2" s="28" t="s">
        <v>13</v>
      </c>
      <c r="C2" s="30"/>
      <c r="D2" s="32"/>
      <c r="E2" s="34" t="s">
        <v>14</v>
      </c>
      <c r="F2" s="35">
        <v>42370.0</v>
      </c>
      <c r="G2" s="35">
        <v>42401.0</v>
      </c>
      <c r="H2" s="35">
        <v>42430.0</v>
      </c>
      <c r="I2" s="35">
        <v>42461.0</v>
      </c>
      <c r="J2" s="35">
        <v>42491.0</v>
      </c>
      <c r="K2" s="35">
        <v>42522.0</v>
      </c>
      <c r="L2" s="35">
        <v>42552.0</v>
      </c>
      <c r="M2" s="35">
        <v>42583.0</v>
      </c>
      <c r="N2" s="35">
        <v>42614.0</v>
      </c>
      <c r="O2" s="35">
        <v>42644.0</v>
      </c>
      <c r="P2" s="35">
        <v>42675.0</v>
      </c>
      <c r="Q2" s="37">
        <v>42705.0</v>
      </c>
      <c r="R2" s="252" t="s">
        <v>155</v>
      </c>
      <c r="S2" s="1"/>
      <c r="T2" s="1"/>
      <c r="U2" s="1"/>
      <c r="V2" s="1"/>
      <c r="W2" s="1"/>
      <c r="X2" s="1"/>
      <c r="Y2" s="1"/>
      <c r="Z2" s="1"/>
      <c r="AA2" s="1"/>
      <c r="AB2" s="1"/>
    </row>
    <row r="3" ht="13.5" customHeight="1">
      <c r="A3" s="1"/>
      <c r="B3" s="1"/>
      <c r="C3" s="1"/>
      <c r="D3" s="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"/>
      <c r="S3" s="1"/>
      <c r="T3" s="1"/>
      <c r="U3" s="1"/>
      <c r="V3" s="1"/>
      <c r="W3" s="1"/>
      <c r="X3" s="1"/>
      <c r="Y3" s="1"/>
      <c r="Z3" s="1"/>
      <c r="AA3" s="1"/>
      <c r="AB3" s="1"/>
    </row>
    <row r="4" ht="13.5" customHeight="1">
      <c r="A4" s="1"/>
      <c r="B4" s="1"/>
      <c r="C4" s="41"/>
      <c r="D4" s="48" t="s">
        <v>22</v>
      </c>
      <c r="E4" s="50">
        <f>+SUM(E5:E8)</f>
        <v>76175.98</v>
      </c>
      <c r="F4" s="52">
        <f t="shared" ref="F4:Q4" si="1">SUM(F5:F8)</f>
        <v>2868.48</v>
      </c>
      <c r="G4" s="52">
        <f t="shared" si="1"/>
        <v>3498.98</v>
      </c>
      <c r="H4" s="52">
        <f t="shared" si="1"/>
        <v>4001.25</v>
      </c>
      <c r="I4" s="52">
        <f t="shared" si="1"/>
        <v>4123.36</v>
      </c>
      <c r="J4" s="52">
        <f t="shared" si="1"/>
        <v>4156.36</v>
      </c>
      <c r="K4" s="52">
        <f t="shared" si="1"/>
        <v>4954.97</v>
      </c>
      <c r="L4" s="52">
        <f t="shared" si="1"/>
        <v>2370.35</v>
      </c>
      <c r="M4" s="52">
        <f t="shared" si="1"/>
        <v>3167.29</v>
      </c>
      <c r="N4" s="52">
        <f t="shared" si="1"/>
        <v>9340.98</v>
      </c>
      <c r="O4" s="52">
        <f t="shared" si="1"/>
        <v>10192.09</v>
      </c>
      <c r="P4" s="52">
        <f t="shared" si="1"/>
        <v>13304.97</v>
      </c>
      <c r="Q4" s="54">
        <f t="shared" si="1"/>
        <v>14196.9</v>
      </c>
      <c r="R4" s="4"/>
      <c r="S4" s="1"/>
      <c r="T4" s="1"/>
      <c r="U4" s="1"/>
      <c r="V4" s="1"/>
      <c r="W4" s="1"/>
      <c r="X4" s="1"/>
      <c r="Y4" s="1"/>
      <c r="Z4" s="1"/>
      <c r="AA4" s="1"/>
      <c r="AB4" s="1"/>
    </row>
    <row r="5" ht="13.5" customHeight="1">
      <c r="A5" s="1"/>
      <c r="B5" s="1"/>
      <c r="C5" s="56">
        <v>707.0</v>
      </c>
      <c r="D5" s="58" t="s">
        <v>23</v>
      </c>
      <c r="E5" s="60">
        <f t="shared" ref="E5:E8" si="2">+SUM(F5:Q5)</f>
        <v>56481.18</v>
      </c>
      <c r="F5" s="62">
        <v>2608.48</v>
      </c>
      <c r="G5" s="62">
        <v>2513.98</v>
      </c>
      <c r="H5" s="62">
        <v>3156.25</v>
      </c>
      <c r="I5" s="62">
        <v>3298.36</v>
      </c>
      <c r="J5" s="62">
        <v>3691.36</v>
      </c>
      <c r="K5" s="62">
        <v>4474.97</v>
      </c>
      <c r="L5" s="62">
        <v>2165.35</v>
      </c>
      <c r="M5" s="62">
        <v>2912.29</v>
      </c>
      <c r="N5" s="62">
        <v>5720.98</v>
      </c>
      <c r="O5" s="62">
        <v>5947.19</v>
      </c>
      <c r="P5" s="62">
        <v>8590.02</v>
      </c>
      <c r="Q5" s="64">
        <v>11401.95</v>
      </c>
      <c r="R5" s="4"/>
      <c r="S5" s="1"/>
      <c r="T5" s="1"/>
      <c r="U5" s="1"/>
      <c r="V5" s="1"/>
      <c r="W5" s="1"/>
      <c r="X5" s="1"/>
      <c r="Y5" s="1"/>
      <c r="Z5" s="1"/>
      <c r="AA5" s="1"/>
      <c r="AB5" s="1"/>
    </row>
    <row r="6" ht="13.5" customHeight="1">
      <c r="A6" s="1"/>
      <c r="B6" s="1"/>
      <c r="C6" s="56">
        <v>756.0</v>
      </c>
      <c r="D6" s="66" t="s">
        <v>25</v>
      </c>
      <c r="E6" s="60">
        <f t="shared" si="2"/>
        <v>11380</v>
      </c>
      <c r="F6" s="62">
        <v>260.0</v>
      </c>
      <c r="G6" s="62">
        <v>940.0</v>
      </c>
      <c r="H6" s="62">
        <v>805.0</v>
      </c>
      <c r="I6" s="62">
        <v>735.0</v>
      </c>
      <c r="J6" s="62">
        <v>415.0</v>
      </c>
      <c r="K6" s="62">
        <v>435.0</v>
      </c>
      <c r="L6" s="62">
        <v>205.0</v>
      </c>
      <c r="M6" s="62">
        <v>235.0</v>
      </c>
      <c r="N6" s="62">
        <v>1115.0</v>
      </c>
      <c r="O6" s="62">
        <v>1580.0</v>
      </c>
      <c r="P6" s="62">
        <v>3210.0</v>
      </c>
      <c r="Q6" s="64">
        <v>1445.0</v>
      </c>
      <c r="R6" s="4"/>
      <c r="S6" s="1"/>
      <c r="T6" s="1"/>
      <c r="U6" s="1"/>
      <c r="V6" s="1"/>
      <c r="W6" s="1"/>
      <c r="X6" s="1"/>
      <c r="Y6" s="1"/>
      <c r="Z6" s="1"/>
      <c r="AA6" s="1"/>
      <c r="AB6" s="1"/>
    </row>
    <row r="7" ht="13.5" customHeight="1">
      <c r="A7" s="1"/>
      <c r="B7" s="1"/>
      <c r="C7" s="56">
        <v>7561.0</v>
      </c>
      <c r="D7" s="66" t="s">
        <v>26</v>
      </c>
      <c r="E7" s="60">
        <f t="shared" si="2"/>
        <v>635</v>
      </c>
      <c r="F7" s="62">
        <v>0.0</v>
      </c>
      <c r="G7" s="62">
        <v>45.0</v>
      </c>
      <c r="H7" s="62">
        <v>40.0</v>
      </c>
      <c r="I7" s="62">
        <v>90.0</v>
      </c>
      <c r="J7" s="62">
        <v>50.0</v>
      </c>
      <c r="K7" s="62">
        <v>45.0</v>
      </c>
      <c r="L7" s="62">
        <v>0.0</v>
      </c>
      <c r="M7" s="62">
        <v>20.0</v>
      </c>
      <c r="N7" s="62">
        <v>105.0</v>
      </c>
      <c r="O7" s="62">
        <v>25.0</v>
      </c>
      <c r="P7" s="62">
        <v>185.0</v>
      </c>
      <c r="Q7" s="64">
        <v>30.0</v>
      </c>
      <c r="R7" s="4"/>
      <c r="S7" s="1"/>
      <c r="T7" s="1"/>
      <c r="U7" s="1"/>
      <c r="V7" s="1"/>
      <c r="W7" s="1"/>
      <c r="X7" s="1"/>
      <c r="Y7" s="1"/>
      <c r="Z7" s="1"/>
      <c r="AA7" s="1"/>
      <c r="AB7" s="1"/>
    </row>
    <row r="8" ht="13.5" customHeight="1">
      <c r="A8" s="1"/>
      <c r="B8" s="1"/>
      <c r="C8" s="56">
        <v>74.0</v>
      </c>
      <c r="D8" s="69" t="s">
        <v>28</v>
      </c>
      <c r="E8" s="70">
        <f t="shared" si="2"/>
        <v>7679.8</v>
      </c>
      <c r="F8" s="71"/>
      <c r="G8" s="71"/>
      <c r="H8" s="71"/>
      <c r="I8" s="71"/>
      <c r="J8" s="71"/>
      <c r="K8" s="71"/>
      <c r="L8" s="71"/>
      <c r="M8" s="71"/>
      <c r="N8" s="62">
        <v>2400.0</v>
      </c>
      <c r="O8" s="62">
        <v>2639.9</v>
      </c>
      <c r="P8" s="62">
        <v>1319.95</v>
      </c>
      <c r="Q8" s="64">
        <v>1319.95</v>
      </c>
      <c r="R8" s="4"/>
      <c r="S8" s="1"/>
      <c r="T8" s="1"/>
      <c r="U8" s="1"/>
      <c r="V8" s="1"/>
      <c r="W8" s="1"/>
      <c r="X8" s="1"/>
      <c r="Y8" s="1"/>
      <c r="Z8" s="1"/>
      <c r="AA8" s="1"/>
      <c r="AB8" s="1"/>
    </row>
    <row r="9" ht="13.5" customHeight="1">
      <c r="A9" s="1"/>
      <c r="B9" s="41"/>
      <c r="C9" s="41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4"/>
      <c r="S9" s="1"/>
      <c r="T9" s="1"/>
      <c r="U9" s="1"/>
      <c r="V9" s="1"/>
      <c r="W9" s="1"/>
      <c r="X9" s="1"/>
      <c r="Y9" s="1"/>
      <c r="Z9" s="1"/>
      <c r="AA9" s="1"/>
      <c r="AB9" s="1"/>
    </row>
    <row r="10" ht="13.5" customHeight="1">
      <c r="A10" s="1"/>
      <c r="B10" s="1"/>
      <c r="C10" s="41"/>
      <c r="D10" s="48" t="s">
        <v>29</v>
      </c>
      <c r="E10" s="77">
        <f>+SUM(E13:E30)</f>
        <v>66909.03</v>
      </c>
      <c r="F10" s="80">
        <f t="shared" ref="F10:Q10" si="3">SUM(F11:F30)</f>
        <v>2126.29</v>
      </c>
      <c r="G10" s="80">
        <f t="shared" si="3"/>
        <v>2693.79</v>
      </c>
      <c r="H10" s="80">
        <f t="shared" si="3"/>
        <v>2765.99</v>
      </c>
      <c r="I10" s="80">
        <f t="shared" si="3"/>
        <v>3610.04</v>
      </c>
      <c r="J10" s="80">
        <f t="shared" si="3"/>
        <v>3693.31</v>
      </c>
      <c r="K10" s="80">
        <f t="shared" si="3"/>
        <v>4974.57</v>
      </c>
      <c r="L10" s="80">
        <f t="shared" si="3"/>
        <v>2832.41</v>
      </c>
      <c r="M10" s="80">
        <f t="shared" si="3"/>
        <v>4516.61</v>
      </c>
      <c r="N10" s="80">
        <f t="shared" si="3"/>
        <v>5291.31</v>
      </c>
      <c r="O10" s="80">
        <f t="shared" si="3"/>
        <v>7732.77</v>
      </c>
      <c r="P10" s="80">
        <f t="shared" si="3"/>
        <v>11200.61</v>
      </c>
      <c r="Q10" s="83">
        <f t="shared" si="3"/>
        <v>22879.97</v>
      </c>
      <c r="R10" s="4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ht="13.5" customHeight="1">
      <c r="A11" s="1"/>
      <c r="B11" s="1"/>
      <c r="C11" s="56">
        <v>213.0</v>
      </c>
      <c r="D11" s="86" t="s">
        <v>36</v>
      </c>
      <c r="E11" s="88">
        <f t="shared" ref="E11:E30" si="4">+SUM(F11:Q11)</f>
        <v>0</v>
      </c>
      <c r="F11" s="62">
        <v>0.0</v>
      </c>
      <c r="G11" s="62">
        <v>0.0</v>
      </c>
      <c r="H11" s="62">
        <v>0.0</v>
      </c>
      <c r="I11" s="62">
        <v>0.0</v>
      </c>
      <c r="J11" s="62">
        <v>0.0</v>
      </c>
      <c r="K11" s="62">
        <v>0.0</v>
      </c>
      <c r="L11" s="62">
        <v>0.0</v>
      </c>
      <c r="M11" s="62">
        <v>0.0</v>
      </c>
      <c r="N11" s="62">
        <v>0.0</v>
      </c>
      <c r="O11" s="62">
        <v>0.0</v>
      </c>
      <c r="P11" s="62">
        <v>0.0</v>
      </c>
      <c r="Q11" s="64">
        <v>0.0</v>
      </c>
      <c r="R11" s="4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ht="13.5" customHeight="1">
      <c r="A12" s="1"/>
      <c r="B12" s="1"/>
      <c r="C12" s="56">
        <v>2184.0</v>
      </c>
      <c r="D12" s="86" t="s">
        <v>37</v>
      </c>
      <c r="E12" s="88">
        <f t="shared" si="4"/>
        <v>7408.64</v>
      </c>
      <c r="F12" s="62">
        <v>0.0</v>
      </c>
      <c r="G12" s="62">
        <v>0.0</v>
      </c>
      <c r="H12" s="62">
        <v>0.0</v>
      </c>
      <c r="I12" s="62">
        <v>0.0</v>
      </c>
      <c r="J12" s="62">
        <v>0.0</v>
      </c>
      <c r="K12" s="62">
        <v>0.0</v>
      </c>
      <c r="L12" s="62">
        <v>0.0</v>
      </c>
      <c r="M12" s="62">
        <v>0.0</v>
      </c>
      <c r="N12" s="62">
        <v>0.0</v>
      </c>
      <c r="O12" s="62">
        <v>0.0</v>
      </c>
      <c r="P12" s="62">
        <v>327.88</v>
      </c>
      <c r="Q12" s="64">
        <v>7080.76</v>
      </c>
      <c r="R12" s="4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ht="13.5" customHeight="1">
      <c r="A13" s="1"/>
      <c r="B13" s="1"/>
      <c r="C13" s="56">
        <v>2755.0</v>
      </c>
      <c r="D13" s="66" t="s">
        <v>38</v>
      </c>
      <c r="E13" s="88">
        <f t="shared" si="4"/>
        <v>650</v>
      </c>
      <c r="F13" s="62">
        <v>0.0</v>
      </c>
      <c r="G13" s="93">
        <v>0.0</v>
      </c>
      <c r="H13" s="62">
        <v>0.0</v>
      </c>
      <c r="I13" s="62">
        <v>0.0</v>
      </c>
      <c r="J13" s="62">
        <v>0.0</v>
      </c>
      <c r="K13" s="62">
        <v>650.0</v>
      </c>
      <c r="L13" s="62">
        <v>0.0</v>
      </c>
      <c r="M13" s="62">
        <v>0.0</v>
      </c>
      <c r="N13" s="62">
        <v>0.0</v>
      </c>
      <c r="O13" s="62">
        <v>0.0</v>
      </c>
      <c r="P13" s="62">
        <v>0.0</v>
      </c>
      <c r="Q13" s="64">
        <v>0.0</v>
      </c>
      <c r="R13" s="4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ht="13.5" customHeight="1">
      <c r="A14" s="1"/>
      <c r="B14" s="1"/>
      <c r="C14" s="56">
        <v>447.0</v>
      </c>
      <c r="D14" s="66" t="s">
        <v>39</v>
      </c>
      <c r="E14" s="60">
        <f t="shared" si="4"/>
        <v>0</v>
      </c>
      <c r="F14" s="62">
        <v>0.0</v>
      </c>
      <c r="G14" s="62">
        <v>0.0</v>
      </c>
      <c r="H14" s="62">
        <v>0.0</v>
      </c>
      <c r="I14" s="62">
        <v>0.0</v>
      </c>
      <c r="J14" s="62">
        <v>0.0</v>
      </c>
      <c r="K14" s="62">
        <v>0.0</v>
      </c>
      <c r="L14" s="62">
        <v>0.0</v>
      </c>
      <c r="M14" s="62">
        <v>0.0</v>
      </c>
      <c r="N14" s="62">
        <v>0.0</v>
      </c>
      <c r="O14" s="62">
        <v>0.0</v>
      </c>
      <c r="P14" s="62">
        <v>0.0</v>
      </c>
      <c r="Q14" s="64">
        <v>0.0</v>
      </c>
      <c r="R14" s="4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ht="13.5" customHeight="1">
      <c r="A15" s="1"/>
      <c r="B15" s="1"/>
      <c r="C15" s="56">
        <v>604.0</v>
      </c>
      <c r="D15" s="66" t="s">
        <v>40</v>
      </c>
      <c r="E15" s="60">
        <f t="shared" si="4"/>
        <v>231.2</v>
      </c>
      <c r="F15" s="62">
        <v>0.0</v>
      </c>
      <c r="G15" s="62">
        <v>0.0</v>
      </c>
      <c r="H15" s="62">
        <v>0.0</v>
      </c>
      <c r="I15" s="62">
        <v>0.0</v>
      </c>
      <c r="J15" s="62">
        <v>0.0</v>
      </c>
      <c r="K15" s="62">
        <v>0.0</v>
      </c>
      <c r="L15" s="62">
        <v>0.0</v>
      </c>
      <c r="M15" s="62">
        <v>0.0</v>
      </c>
      <c r="N15" s="62">
        <v>0.0</v>
      </c>
      <c r="O15" s="62">
        <v>109.4</v>
      </c>
      <c r="P15" s="62">
        <v>121.8</v>
      </c>
      <c r="Q15" s="64">
        <v>0.0</v>
      </c>
      <c r="R15" s="4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ht="13.5" customHeight="1">
      <c r="A16" s="1"/>
      <c r="B16" s="1"/>
      <c r="C16" s="56">
        <v>60612.0</v>
      </c>
      <c r="D16" s="66" t="s">
        <v>42</v>
      </c>
      <c r="E16" s="60">
        <f t="shared" si="4"/>
        <v>496.19</v>
      </c>
      <c r="F16" s="62">
        <v>0.0</v>
      </c>
      <c r="G16" s="62">
        <v>0.0</v>
      </c>
      <c r="H16" s="62">
        <v>0.0</v>
      </c>
      <c r="I16" s="62">
        <v>0.0</v>
      </c>
      <c r="J16" s="62">
        <v>0.0</v>
      </c>
      <c r="K16" s="62">
        <v>0.0</v>
      </c>
      <c r="L16" s="62">
        <v>0.0</v>
      </c>
      <c r="M16" s="62">
        <v>94.06</v>
      </c>
      <c r="N16" s="62">
        <v>0.0</v>
      </c>
      <c r="O16" s="62">
        <v>272.02</v>
      </c>
      <c r="P16" s="62">
        <v>0.0</v>
      </c>
      <c r="Q16" s="64">
        <v>130.11</v>
      </c>
      <c r="R16" s="4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ht="13.5" customHeight="1">
      <c r="A17" s="97"/>
      <c r="B17" s="97"/>
      <c r="C17" s="56">
        <v>60611.0</v>
      </c>
      <c r="D17" s="66" t="s">
        <v>44</v>
      </c>
      <c r="E17" s="60">
        <f t="shared" si="4"/>
        <v>54.91</v>
      </c>
      <c r="F17" s="62">
        <v>0.0</v>
      </c>
      <c r="G17" s="62">
        <v>0.0</v>
      </c>
      <c r="H17" s="62">
        <v>0.0</v>
      </c>
      <c r="I17" s="62">
        <v>0.0</v>
      </c>
      <c r="J17" s="62">
        <v>0.0</v>
      </c>
      <c r="K17" s="62">
        <v>0.0</v>
      </c>
      <c r="L17" s="62">
        <v>0.0</v>
      </c>
      <c r="M17" s="62">
        <v>0.0</v>
      </c>
      <c r="N17" s="62">
        <v>0.0</v>
      </c>
      <c r="O17" s="62">
        <v>0.0</v>
      </c>
      <c r="P17" s="62">
        <v>0.0</v>
      </c>
      <c r="Q17" s="64">
        <v>54.91</v>
      </c>
      <c r="R17" s="4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ht="13.5" customHeight="1">
      <c r="A18" s="97"/>
      <c r="B18" s="97"/>
      <c r="C18" s="56">
        <v>6064.0</v>
      </c>
      <c r="D18" s="66" t="s">
        <v>45</v>
      </c>
      <c r="E18" s="60">
        <f t="shared" si="4"/>
        <v>257.99</v>
      </c>
      <c r="F18" s="62">
        <v>22.95</v>
      </c>
      <c r="G18" s="62">
        <v>0.0</v>
      </c>
      <c r="H18" s="62">
        <v>0.0</v>
      </c>
      <c r="I18" s="62">
        <v>0.0</v>
      </c>
      <c r="J18" s="62">
        <v>95.69</v>
      </c>
      <c r="K18" s="62">
        <v>19.29</v>
      </c>
      <c r="L18" s="62">
        <v>0.0</v>
      </c>
      <c r="M18" s="62">
        <v>45.0</v>
      </c>
      <c r="N18" s="62">
        <v>40.0</v>
      </c>
      <c r="O18" s="62">
        <v>0.0</v>
      </c>
      <c r="P18" s="62">
        <v>35.06</v>
      </c>
      <c r="Q18" s="64">
        <v>0.0</v>
      </c>
      <c r="R18" s="4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ht="13.5" customHeight="1">
      <c r="A19" s="1"/>
      <c r="B19" s="1"/>
      <c r="C19" s="56">
        <v>607.0</v>
      </c>
      <c r="D19" s="58" t="s">
        <v>46</v>
      </c>
      <c r="E19" s="60">
        <f t="shared" si="4"/>
        <v>50108.64</v>
      </c>
      <c r="F19" s="62">
        <v>2052.17</v>
      </c>
      <c r="G19" s="62">
        <v>2632.85</v>
      </c>
      <c r="H19" s="62">
        <v>2718.69</v>
      </c>
      <c r="I19" s="62">
        <v>3501.68</v>
      </c>
      <c r="J19" s="62">
        <v>3254.84</v>
      </c>
      <c r="K19" s="62">
        <v>3496.88</v>
      </c>
      <c r="L19" s="62">
        <v>1901.82</v>
      </c>
      <c r="M19" s="62">
        <v>2222.31</v>
      </c>
      <c r="N19" s="62">
        <v>4826.15</v>
      </c>
      <c r="O19" s="62">
        <v>5957.03</v>
      </c>
      <c r="P19" s="62">
        <v>7142.99</v>
      </c>
      <c r="Q19" s="64">
        <v>10401.23</v>
      </c>
      <c r="R19" s="4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ht="13.5" customHeight="1">
      <c r="A20" s="1"/>
      <c r="B20" s="1"/>
      <c r="C20" s="56">
        <v>6132.0</v>
      </c>
      <c r="D20" s="66" t="s">
        <v>47</v>
      </c>
      <c r="E20" s="60">
        <f t="shared" si="4"/>
        <v>4815</v>
      </c>
      <c r="F20" s="62">
        <v>0.0</v>
      </c>
      <c r="G20" s="62">
        <v>0.0</v>
      </c>
      <c r="H20" s="62">
        <v>0.0</v>
      </c>
      <c r="I20" s="62">
        <v>0.0</v>
      </c>
      <c r="J20" s="62">
        <v>250.0</v>
      </c>
      <c r="K20" s="62">
        <v>665.0</v>
      </c>
      <c r="L20" s="62">
        <v>0.0</v>
      </c>
      <c r="M20" s="62">
        <v>1950.0</v>
      </c>
      <c r="N20" s="62">
        <v>0.0</v>
      </c>
      <c r="O20" s="62">
        <v>0.0</v>
      </c>
      <c r="P20" s="62">
        <v>1950.0</v>
      </c>
      <c r="Q20" s="64">
        <v>0.0</v>
      </c>
      <c r="R20" s="4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ht="13.5" customHeight="1">
      <c r="A21" s="1"/>
      <c r="B21" s="1"/>
      <c r="C21" s="56">
        <v>6152.0</v>
      </c>
      <c r="D21" s="66" t="s">
        <v>48</v>
      </c>
      <c r="E21" s="60">
        <f t="shared" si="4"/>
        <v>972.11</v>
      </c>
      <c r="F21" s="62">
        <v>0.0</v>
      </c>
      <c r="G21" s="62">
        <v>0.0</v>
      </c>
      <c r="H21" s="62">
        <v>0.0</v>
      </c>
      <c r="I21" s="62">
        <v>0.0</v>
      </c>
      <c r="J21" s="62">
        <v>0.0</v>
      </c>
      <c r="K21" s="62">
        <v>57.75</v>
      </c>
      <c r="L21" s="62">
        <v>572.06</v>
      </c>
      <c r="M21" s="62">
        <v>58.2</v>
      </c>
      <c r="N21" s="62">
        <v>144.64</v>
      </c>
      <c r="O21" s="62">
        <v>94.13</v>
      </c>
      <c r="P21" s="62">
        <v>26.07</v>
      </c>
      <c r="Q21" s="64">
        <v>19.26</v>
      </c>
      <c r="R21" s="4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ht="13.5" customHeight="1">
      <c r="A22" s="1"/>
      <c r="B22" s="1"/>
      <c r="C22" s="56">
        <v>616.0</v>
      </c>
      <c r="D22" s="66" t="s">
        <v>49</v>
      </c>
      <c r="E22" s="60">
        <f t="shared" si="4"/>
        <v>173.08</v>
      </c>
      <c r="F22" s="62">
        <v>0.0</v>
      </c>
      <c r="G22" s="62">
        <v>0.0</v>
      </c>
      <c r="H22" s="62">
        <v>0.0</v>
      </c>
      <c r="I22" s="62">
        <v>0.0</v>
      </c>
      <c r="J22" s="62">
        <v>0.0</v>
      </c>
      <c r="K22" s="62">
        <v>0.0</v>
      </c>
      <c r="L22" s="62">
        <v>173.08</v>
      </c>
      <c r="M22" s="62">
        <v>0.0</v>
      </c>
      <c r="N22" s="62">
        <v>0.0</v>
      </c>
      <c r="O22" s="62">
        <v>0.0</v>
      </c>
      <c r="P22" s="62">
        <v>0.0</v>
      </c>
      <c r="Q22" s="64">
        <v>0.0</v>
      </c>
      <c r="R22" s="4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ht="13.5" customHeight="1">
      <c r="A23" s="1"/>
      <c r="B23" s="1"/>
      <c r="C23" s="56">
        <v>6227.0</v>
      </c>
      <c r="D23" s="66" t="s">
        <v>51</v>
      </c>
      <c r="E23" s="60">
        <f t="shared" si="4"/>
        <v>0</v>
      </c>
      <c r="F23" s="62">
        <v>0.0</v>
      </c>
      <c r="G23" s="62">
        <v>0.0</v>
      </c>
      <c r="H23" s="62">
        <v>0.0</v>
      </c>
      <c r="I23" s="62">
        <v>0.0</v>
      </c>
      <c r="J23" s="62">
        <v>0.0</v>
      </c>
      <c r="K23" s="62">
        <v>0.0</v>
      </c>
      <c r="L23" s="62">
        <v>0.0</v>
      </c>
      <c r="M23" s="62">
        <v>0.0</v>
      </c>
      <c r="N23" s="62">
        <v>0.0</v>
      </c>
      <c r="O23" s="62">
        <v>0.0</v>
      </c>
      <c r="P23" s="62">
        <v>0.0</v>
      </c>
      <c r="Q23" s="64">
        <v>0.0</v>
      </c>
      <c r="R23" s="4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ht="13.5" customHeight="1">
      <c r="A24" s="1"/>
      <c r="B24" s="1"/>
      <c r="C24" s="56">
        <v>6251.0</v>
      </c>
      <c r="D24" s="66" t="s">
        <v>52</v>
      </c>
      <c r="E24" s="60">
        <f t="shared" si="4"/>
        <v>576.19</v>
      </c>
      <c r="F24" s="62">
        <v>23.4</v>
      </c>
      <c r="G24" s="62">
        <v>40.0</v>
      </c>
      <c r="H24" s="62">
        <v>40.0</v>
      </c>
      <c r="I24" s="62">
        <v>62.0</v>
      </c>
      <c r="J24" s="62">
        <v>50.0</v>
      </c>
      <c r="K24" s="62">
        <v>60.0</v>
      </c>
      <c r="L24" s="62">
        <v>0.0</v>
      </c>
      <c r="M24" s="62">
        <v>51.0</v>
      </c>
      <c r="N24" s="62">
        <v>112.01</v>
      </c>
      <c r="O24" s="62">
        <v>60.0</v>
      </c>
      <c r="P24" s="62">
        <v>47.78</v>
      </c>
      <c r="Q24" s="64">
        <v>30.0</v>
      </c>
      <c r="R24" s="4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ht="13.5" customHeight="1">
      <c r="A25" s="1"/>
      <c r="B25" s="1"/>
      <c r="C25" s="56">
        <v>626.0</v>
      </c>
      <c r="D25" s="66" t="s">
        <v>53</v>
      </c>
      <c r="E25" s="60">
        <f t="shared" si="4"/>
        <v>230.02</v>
      </c>
      <c r="F25" s="62">
        <v>0.0</v>
      </c>
      <c r="G25" s="62">
        <v>0.0</v>
      </c>
      <c r="H25" s="62">
        <v>0.0</v>
      </c>
      <c r="I25" s="62">
        <v>26.8</v>
      </c>
      <c r="J25" s="62">
        <v>0.0</v>
      </c>
      <c r="K25" s="62">
        <v>0.0</v>
      </c>
      <c r="L25" s="62">
        <v>78.15</v>
      </c>
      <c r="M25" s="62">
        <v>17.99</v>
      </c>
      <c r="N25" s="62">
        <v>17.99</v>
      </c>
      <c r="O25" s="62">
        <v>11.79</v>
      </c>
      <c r="P25" s="62">
        <v>59.31</v>
      </c>
      <c r="Q25" s="64">
        <v>17.99</v>
      </c>
      <c r="R25" s="4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ht="13.5" customHeight="1">
      <c r="A26" s="1"/>
      <c r="B26" s="1"/>
      <c r="C26" s="56">
        <v>627.0</v>
      </c>
      <c r="D26" s="66" t="s">
        <v>50</v>
      </c>
      <c r="E26" s="60">
        <f t="shared" si="4"/>
        <v>204.15</v>
      </c>
      <c r="F26" s="71">
        <v>17.77</v>
      </c>
      <c r="G26" s="71">
        <v>7.3</v>
      </c>
      <c r="H26" s="71">
        <v>7.3</v>
      </c>
      <c r="I26" s="71">
        <v>19.56</v>
      </c>
      <c r="J26" s="71">
        <v>13.06</v>
      </c>
      <c r="K26" s="71">
        <v>25.65</v>
      </c>
      <c r="L26" s="71">
        <v>7.3</v>
      </c>
      <c r="M26" s="71">
        <v>7.3</v>
      </c>
      <c r="N26" s="62">
        <v>24.19</v>
      </c>
      <c r="O26" s="62">
        <v>7.3</v>
      </c>
      <c r="P26" s="62">
        <v>7.3</v>
      </c>
      <c r="Q26" s="64">
        <v>60.12</v>
      </c>
      <c r="R26" s="4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ht="13.5" customHeight="1">
      <c r="A27" s="1"/>
      <c r="B27" s="1"/>
      <c r="C27" s="56">
        <v>6411.0</v>
      </c>
      <c r="D27" s="66" t="s">
        <v>54</v>
      </c>
      <c r="E27" s="60">
        <f t="shared" si="4"/>
        <v>3370.26</v>
      </c>
      <c r="F27" s="62">
        <v>0.0</v>
      </c>
      <c r="G27" s="62">
        <v>0.0</v>
      </c>
      <c r="H27" s="62">
        <v>0.0</v>
      </c>
      <c r="I27" s="62">
        <v>0.0</v>
      </c>
      <c r="J27" s="62">
        <v>0.0</v>
      </c>
      <c r="K27" s="62">
        <v>0.0</v>
      </c>
      <c r="L27" s="62">
        <v>0.0</v>
      </c>
      <c r="M27" s="62">
        <v>0.0</v>
      </c>
      <c r="N27" s="62">
        <v>0.0</v>
      </c>
      <c r="O27" s="62">
        <v>1123.42</v>
      </c>
      <c r="P27" s="62">
        <v>1123.42</v>
      </c>
      <c r="Q27" s="64">
        <v>1123.42</v>
      </c>
      <c r="R27" s="4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ht="13.5" customHeight="1">
      <c r="A28" s="1"/>
      <c r="B28" s="1"/>
      <c r="C28" s="56">
        <v>6451.0</v>
      </c>
      <c r="D28" s="66" t="s">
        <v>55</v>
      </c>
      <c r="E28" s="60">
        <f t="shared" si="4"/>
        <v>359</v>
      </c>
      <c r="F28" s="62"/>
      <c r="G28" s="62"/>
      <c r="H28" s="62"/>
      <c r="I28" s="62"/>
      <c r="J28" s="62"/>
      <c r="K28" s="62"/>
      <c r="L28" s="62"/>
      <c r="M28" s="62"/>
      <c r="N28" s="62">
        <v>0.0</v>
      </c>
      <c r="O28" s="62">
        <v>0.0</v>
      </c>
      <c r="P28" s="62">
        <v>359.0</v>
      </c>
      <c r="Q28" s="64">
        <v>0.0</v>
      </c>
      <c r="R28" s="4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ht="16.5" customHeight="1">
      <c r="A29" s="1"/>
      <c r="B29" s="1"/>
      <c r="C29" s="56">
        <v>651.0</v>
      </c>
      <c r="D29" s="66" t="s">
        <v>56</v>
      </c>
      <c r="E29" s="60">
        <f t="shared" si="4"/>
        <v>113.33</v>
      </c>
      <c r="F29" s="62">
        <v>0.0</v>
      </c>
      <c r="G29" s="62">
        <v>13.64</v>
      </c>
      <c r="H29" s="62">
        <v>0.0</v>
      </c>
      <c r="I29" s="62">
        <v>0.0</v>
      </c>
      <c r="J29" s="62">
        <v>29.72</v>
      </c>
      <c r="K29" s="62">
        <v>0.0</v>
      </c>
      <c r="L29" s="62">
        <v>0.0</v>
      </c>
      <c r="M29" s="62">
        <v>0.0</v>
      </c>
      <c r="N29" s="62">
        <v>59.72</v>
      </c>
      <c r="O29" s="62">
        <v>0.0</v>
      </c>
      <c r="P29" s="62">
        <v>0.0</v>
      </c>
      <c r="Q29" s="64">
        <v>10.25</v>
      </c>
      <c r="R29" s="4"/>
      <c r="S29" s="97"/>
      <c r="T29" s="97"/>
      <c r="U29" s="1"/>
      <c r="V29" s="1"/>
      <c r="W29" s="1"/>
      <c r="X29" s="1"/>
      <c r="Y29" s="1"/>
      <c r="Z29" s="1"/>
      <c r="AA29" s="1"/>
      <c r="AB29" s="1"/>
    </row>
    <row r="30" ht="16.5" customHeight="1">
      <c r="A30" s="1"/>
      <c r="B30" s="1"/>
      <c r="C30" s="56">
        <v>6713.0</v>
      </c>
      <c r="D30" s="66" t="s">
        <v>57</v>
      </c>
      <c r="E30" s="60">
        <f t="shared" si="4"/>
        <v>4296.96</v>
      </c>
      <c r="F30" s="62">
        <v>10.0</v>
      </c>
      <c r="G30" s="62">
        <v>0.0</v>
      </c>
      <c r="H30" s="62">
        <v>0.0</v>
      </c>
      <c r="I30" s="62">
        <v>0.0</v>
      </c>
      <c r="J30" s="62">
        <v>0.0</v>
      </c>
      <c r="K30" s="62">
        <v>0.0</v>
      </c>
      <c r="L30" s="62">
        <v>100.0</v>
      </c>
      <c r="M30" s="62">
        <v>70.75</v>
      </c>
      <c r="N30" s="62">
        <v>66.61</v>
      </c>
      <c r="O30" s="62">
        <v>97.68</v>
      </c>
      <c r="P30" s="62">
        <v>0.0</v>
      </c>
      <c r="Q30" s="64">
        <v>3951.92</v>
      </c>
      <c r="R30" s="4"/>
      <c r="S30" s="97"/>
      <c r="T30" s="97"/>
      <c r="U30" s="1"/>
      <c r="V30" s="1"/>
      <c r="W30" s="1"/>
      <c r="X30" s="1"/>
      <c r="Y30" s="1"/>
      <c r="Z30" s="1"/>
      <c r="AA30" s="1"/>
      <c r="AB30" s="1"/>
    </row>
    <row r="31" ht="16.5" customHeight="1">
      <c r="A31" s="1"/>
      <c r="B31" s="1"/>
      <c r="C31" s="41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4"/>
      <c r="S31" s="97"/>
      <c r="T31" s="97"/>
      <c r="U31" s="1"/>
      <c r="V31" s="1"/>
      <c r="W31" s="1"/>
      <c r="X31" s="1"/>
      <c r="Y31" s="1"/>
      <c r="Z31" s="1"/>
      <c r="AA31" s="1"/>
      <c r="AB31" s="1"/>
    </row>
    <row r="32" ht="16.5" customHeight="1">
      <c r="A32" s="1"/>
      <c r="B32" s="1"/>
      <c r="C32" s="41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4"/>
      <c r="S32" s="97"/>
      <c r="T32" s="97"/>
      <c r="U32" s="97"/>
      <c r="V32" s="97"/>
      <c r="W32" s="97"/>
      <c r="X32" s="97"/>
      <c r="Y32" s="97"/>
      <c r="Z32" s="97"/>
      <c r="AA32" s="97"/>
      <c r="AB32" s="97"/>
    </row>
    <row r="33" ht="18.0" customHeight="1">
      <c r="A33" s="1"/>
      <c r="B33" s="1"/>
      <c r="C33" s="104">
        <v>40.0</v>
      </c>
      <c r="D33" s="105" t="s">
        <v>60</v>
      </c>
      <c r="E33" s="60">
        <f>SUM(F33:Q33)</f>
        <v>1544.29</v>
      </c>
      <c r="F33" s="107">
        <v>0.0</v>
      </c>
      <c r="G33" s="107">
        <v>0.0</v>
      </c>
      <c r="H33" s="107">
        <v>0.0</v>
      </c>
      <c r="I33" s="107">
        <v>0.0</v>
      </c>
      <c r="J33" s="107">
        <v>0.0</v>
      </c>
      <c r="K33" s="107">
        <v>0.0</v>
      </c>
      <c r="L33" s="107">
        <v>0.0</v>
      </c>
      <c r="M33" s="107">
        <v>0.0</v>
      </c>
      <c r="N33" s="107">
        <v>0.0</v>
      </c>
      <c r="O33" s="107">
        <v>0.0</v>
      </c>
      <c r="P33" s="107">
        <v>511.74</v>
      </c>
      <c r="Q33" s="108">
        <v>1032.55</v>
      </c>
      <c r="R33" s="109"/>
      <c r="S33" s="97"/>
      <c r="T33" s="97"/>
      <c r="U33" s="97"/>
      <c r="V33" s="97"/>
      <c r="W33" s="97"/>
      <c r="X33" s="97"/>
      <c r="Y33" s="97"/>
      <c r="Z33" s="97"/>
      <c r="AA33" s="97"/>
      <c r="AB33" s="97"/>
    </row>
    <row r="34" ht="18.0" customHeight="1">
      <c r="A34" s="1"/>
      <c r="B34" s="1"/>
      <c r="C34" s="110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2"/>
      <c r="R34" s="113"/>
      <c r="S34" s="97"/>
      <c r="T34" s="97"/>
      <c r="U34" s="97"/>
      <c r="V34" s="97"/>
      <c r="W34" s="97"/>
      <c r="X34" s="97"/>
      <c r="Y34" s="97"/>
      <c r="Z34" s="97"/>
      <c r="AA34" s="97"/>
      <c r="AB34" s="97"/>
    </row>
    <row r="35" ht="18.0" customHeight="1">
      <c r="A35" s="1"/>
      <c r="B35" s="1"/>
      <c r="C35" s="114">
        <v>6037.0</v>
      </c>
      <c r="D35" s="115" t="s">
        <v>67</v>
      </c>
      <c r="E35" s="116"/>
      <c r="F35" s="107">
        <v>396.65</v>
      </c>
      <c r="G35" s="107">
        <v>396.65</v>
      </c>
      <c r="H35" s="107">
        <v>681.44</v>
      </c>
      <c r="I35" s="107">
        <v>429.85</v>
      </c>
      <c r="J35" s="107">
        <v>750.96</v>
      </c>
      <c r="K35" s="107">
        <v>1131.99</v>
      </c>
      <c r="L35" s="107">
        <v>1571.02</v>
      </c>
      <c r="M35" s="107">
        <v>1743.24</v>
      </c>
      <c r="N35" s="107">
        <v>1900.0</v>
      </c>
      <c r="O35" s="107">
        <v>2653.0</v>
      </c>
      <c r="P35" s="107">
        <v>1524.47</v>
      </c>
      <c r="Q35" s="108">
        <v>3039.28</v>
      </c>
      <c r="R35" s="117"/>
      <c r="S35" s="97"/>
      <c r="T35" s="97"/>
      <c r="U35" s="97"/>
      <c r="V35" s="97"/>
      <c r="W35" s="97"/>
      <c r="X35" s="97"/>
      <c r="Y35" s="97"/>
      <c r="Z35" s="97"/>
      <c r="AA35" s="97"/>
      <c r="AB35" s="97"/>
    </row>
    <row r="36" ht="18.0" customHeight="1">
      <c r="A36" s="1"/>
      <c r="B36" s="1"/>
      <c r="C36" s="119"/>
      <c r="D36" s="115" t="s">
        <v>71</v>
      </c>
      <c r="E36" s="60">
        <f t="shared" ref="E36:E37" si="5">SUM(F36:Q36)</f>
        <v>5402.87</v>
      </c>
      <c r="F36" s="107">
        <v>0.0</v>
      </c>
      <c r="G36" s="107">
        <v>0.0</v>
      </c>
      <c r="H36" s="107">
        <v>284.79</v>
      </c>
      <c r="I36" s="107">
        <v>251.59</v>
      </c>
      <c r="J36" s="107">
        <v>321.11</v>
      </c>
      <c r="K36" s="107">
        <v>381.03</v>
      </c>
      <c r="L36" s="107">
        <v>439.03</v>
      </c>
      <c r="M36" s="107">
        <v>172.22</v>
      </c>
      <c r="N36" s="107">
        <v>156.76</v>
      </c>
      <c r="O36" s="107">
        <v>753.0</v>
      </c>
      <c r="P36" s="107">
        <v>1128.53</v>
      </c>
      <c r="Q36" s="108">
        <v>1514.81</v>
      </c>
      <c r="R36" s="109"/>
      <c r="S36" s="97"/>
      <c r="T36" s="97"/>
      <c r="U36" s="97"/>
      <c r="V36" s="97"/>
      <c r="W36" s="97"/>
      <c r="X36" s="97"/>
      <c r="Y36" s="97"/>
      <c r="Z36" s="97"/>
      <c r="AA36" s="97"/>
      <c r="AB36" s="97"/>
    </row>
    <row r="37" ht="18.0" customHeight="1">
      <c r="A37" s="1"/>
      <c r="B37" s="1"/>
      <c r="C37" s="119"/>
      <c r="D37" s="115" t="s">
        <v>73</v>
      </c>
      <c r="E37" s="60">
        <f t="shared" si="5"/>
        <v>10162.73</v>
      </c>
      <c r="F37" s="107">
        <v>556.31</v>
      </c>
      <c r="G37" s="107">
        <v>118.87</v>
      </c>
      <c r="H37" s="107">
        <v>722.35</v>
      </c>
      <c r="I37" s="107">
        <v>454.91</v>
      </c>
      <c r="J37" s="107">
        <v>757.63</v>
      </c>
      <c r="K37" s="107">
        <v>1359.12</v>
      </c>
      <c r="L37" s="107">
        <v>702.56</v>
      </c>
      <c r="M37" s="107">
        <v>862.2</v>
      </c>
      <c r="N37" s="107">
        <v>1051.59</v>
      </c>
      <c r="O37" s="107">
        <v>743.16</v>
      </c>
      <c r="P37" s="107">
        <v>318.5</v>
      </c>
      <c r="Q37" s="108">
        <v>2515.53</v>
      </c>
      <c r="R37" s="109"/>
      <c r="S37" s="97"/>
      <c r="T37" s="97"/>
      <c r="U37" s="97"/>
      <c r="V37" s="97"/>
      <c r="W37" s="97"/>
      <c r="X37" s="97"/>
      <c r="Y37" s="97"/>
      <c r="Z37" s="97"/>
      <c r="AA37" s="97"/>
      <c r="AB37" s="97"/>
    </row>
    <row r="38" ht="18.0" customHeight="1">
      <c r="A38" s="1"/>
      <c r="B38" s="1"/>
      <c r="C38" s="122"/>
      <c r="D38" s="115" t="s">
        <v>74</v>
      </c>
      <c r="E38" s="123">
        <f>E37/(E5+E36)</f>
        <v>0.1642221219</v>
      </c>
      <c r="F38" s="124">
        <v>0.21</v>
      </c>
      <c r="G38" s="124">
        <v>-0.05</v>
      </c>
      <c r="H38" s="124">
        <v>0.21</v>
      </c>
      <c r="I38" s="124">
        <v>-0.15</v>
      </c>
      <c r="J38" s="124">
        <v>0.19</v>
      </c>
      <c r="K38" s="124">
        <v>0.28</v>
      </c>
      <c r="L38" s="124">
        <v>0.27</v>
      </c>
      <c r="M38" s="124">
        <v>0.28</v>
      </c>
      <c r="N38" s="124">
        <v>0.18</v>
      </c>
      <c r="O38" s="124">
        <v>0.11</v>
      </c>
      <c r="P38" s="124">
        <v>0.04</v>
      </c>
      <c r="Q38" s="125">
        <v>0.19</v>
      </c>
      <c r="R38" s="117"/>
      <c r="S38" s="97"/>
      <c r="T38" s="97"/>
      <c r="U38" s="97"/>
      <c r="V38" s="97"/>
      <c r="W38" s="97"/>
      <c r="X38" s="97"/>
      <c r="Y38" s="97"/>
      <c r="Z38" s="97"/>
      <c r="AA38" s="97"/>
      <c r="AB38" s="97"/>
    </row>
    <row r="39" ht="18.0" customHeight="1">
      <c r="A39" s="1"/>
      <c r="B39" s="1"/>
      <c r="C39" s="41"/>
      <c r="D39" s="126"/>
      <c r="E39" s="127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4"/>
      <c r="S39" s="97"/>
      <c r="T39" s="97"/>
      <c r="U39" s="97"/>
      <c r="V39" s="97"/>
      <c r="W39" s="97"/>
      <c r="X39" s="97"/>
      <c r="Y39" s="97"/>
      <c r="Z39" s="97"/>
      <c r="AA39" s="97"/>
      <c r="AB39" s="97"/>
    </row>
    <row r="40" ht="13.5" customHeight="1">
      <c r="A40" s="48" t="s">
        <v>29</v>
      </c>
      <c r="B40" s="128">
        <f>+SUM(D40:U40)</f>
        <v>11125.26</v>
      </c>
      <c r="C40" s="41"/>
      <c r="D40" s="129" t="s">
        <v>81</v>
      </c>
      <c r="E40" s="130">
        <f t="shared" ref="E40:Q40" si="6">+SUM(E4-E10)</f>
        <v>9266.95</v>
      </c>
      <c r="F40" s="130">
        <f t="shared" si="6"/>
        <v>742.19</v>
      </c>
      <c r="G40" s="130">
        <f t="shared" si="6"/>
        <v>805.19</v>
      </c>
      <c r="H40" s="130">
        <f t="shared" si="6"/>
        <v>1235.26</v>
      </c>
      <c r="I40" s="130">
        <f t="shared" si="6"/>
        <v>513.32</v>
      </c>
      <c r="J40" s="130">
        <f t="shared" si="6"/>
        <v>463.05</v>
      </c>
      <c r="K40" s="130">
        <f t="shared" si="6"/>
        <v>-19.6</v>
      </c>
      <c r="L40" s="130">
        <f t="shared" si="6"/>
        <v>-462.06</v>
      </c>
      <c r="M40" s="130">
        <f t="shared" si="6"/>
        <v>-1349.32</v>
      </c>
      <c r="N40" s="130">
        <f t="shared" si="6"/>
        <v>4049.67</v>
      </c>
      <c r="O40" s="130">
        <f t="shared" si="6"/>
        <v>2459.32</v>
      </c>
      <c r="P40" s="130">
        <f t="shared" si="6"/>
        <v>2104.36</v>
      </c>
      <c r="Q40" s="132">
        <f t="shared" si="6"/>
        <v>-8683.07</v>
      </c>
      <c r="R40" s="4"/>
      <c r="S40" s="97"/>
      <c r="T40" s="97"/>
      <c r="U40" s="97"/>
      <c r="V40" s="97"/>
      <c r="W40" s="97"/>
      <c r="X40" s="97"/>
      <c r="Y40" s="97"/>
      <c r="Z40" s="97"/>
      <c r="AA40" s="97"/>
      <c r="AB40" s="97"/>
    </row>
    <row r="41" ht="13.5" customHeight="1">
      <c r="A41" s="97"/>
      <c r="B41" s="97"/>
      <c r="C41" s="41"/>
      <c r="D41" s="134" t="s">
        <v>82</v>
      </c>
      <c r="E41" s="130">
        <v>2200.0</v>
      </c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4"/>
      <c r="S41" s="97"/>
      <c r="T41" s="97"/>
      <c r="U41" s="97"/>
      <c r="V41" s="97"/>
      <c r="W41" s="97"/>
      <c r="X41" s="97"/>
      <c r="Y41" s="97"/>
      <c r="Z41" s="97"/>
      <c r="AA41" s="97"/>
      <c r="AB41" s="97"/>
    </row>
    <row r="42" ht="16.5" customHeight="1">
      <c r="A42" s="1"/>
      <c r="B42" s="1"/>
      <c r="C42" s="41"/>
      <c r="D42" s="137" t="s">
        <v>85</v>
      </c>
      <c r="E42" s="138">
        <v>3727.0</v>
      </c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4"/>
      <c r="S42" s="97"/>
      <c r="T42" s="97"/>
      <c r="U42" s="97"/>
      <c r="V42" s="97"/>
      <c r="W42" s="97"/>
      <c r="X42" s="97"/>
      <c r="Y42" s="97"/>
      <c r="Z42" s="97"/>
      <c r="AA42" s="97"/>
      <c r="AB42" s="97"/>
    </row>
    <row r="43" ht="18.0" customHeight="1">
      <c r="A43" s="1"/>
      <c r="B43" s="1"/>
      <c r="C43" s="41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4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ht="18.0" customHeight="1">
      <c r="A44" s="1"/>
      <c r="B44" s="1"/>
      <c r="C44" s="41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4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ht="18.0" customHeight="1">
      <c r="A45" s="1"/>
      <c r="B45" s="1"/>
      <c r="C45" s="41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4"/>
      <c r="S45" s="97"/>
      <c r="T45" s="97"/>
      <c r="U45" s="97"/>
      <c r="V45" s="97"/>
      <c r="W45" s="97"/>
      <c r="X45" s="97"/>
      <c r="Y45" s="97"/>
      <c r="Z45" s="97"/>
      <c r="AA45" s="97"/>
      <c r="AB45" s="97"/>
    </row>
    <row r="46" ht="41.25" customHeight="1">
      <c r="A46" s="4"/>
      <c r="B46" s="4"/>
      <c r="C46" s="41"/>
      <c r="D46" s="24" t="s">
        <v>86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4"/>
      <c r="S46" s="97"/>
      <c r="T46" s="97"/>
      <c r="U46" s="97"/>
      <c r="V46" s="97"/>
      <c r="W46" s="97"/>
      <c r="X46" s="97"/>
      <c r="Y46" s="97"/>
      <c r="Z46" s="97"/>
      <c r="AA46" s="97"/>
      <c r="AB46" s="97"/>
    </row>
    <row r="47">
      <c r="A47" s="97"/>
      <c r="B47" s="97"/>
      <c r="C47" s="41"/>
      <c r="D47" s="139"/>
      <c r="E47" s="140" t="s">
        <v>14</v>
      </c>
      <c r="F47" s="141">
        <v>42736.0</v>
      </c>
      <c r="G47" s="141">
        <v>42767.0</v>
      </c>
      <c r="H47" s="141">
        <v>42795.0</v>
      </c>
      <c r="I47" s="141">
        <v>42826.0</v>
      </c>
      <c r="J47" s="141">
        <v>42856.0</v>
      </c>
      <c r="K47" s="141">
        <v>42887.0</v>
      </c>
      <c r="L47" s="141">
        <v>42917.0</v>
      </c>
      <c r="M47" s="141">
        <v>42948.0</v>
      </c>
      <c r="N47" s="141">
        <v>42979.0</v>
      </c>
      <c r="O47" s="141">
        <v>43009.0</v>
      </c>
      <c r="P47" s="141">
        <v>43040.0</v>
      </c>
      <c r="Q47" s="142">
        <v>43070.0</v>
      </c>
      <c r="R47" s="4"/>
      <c r="S47" s="97"/>
      <c r="T47" s="97"/>
      <c r="U47" s="97"/>
      <c r="V47" s="97"/>
      <c r="W47" s="97"/>
      <c r="X47" s="97"/>
      <c r="Y47" s="97"/>
      <c r="Z47" s="97"/>
      <c r="AA47" s="97"/>
      <c r="AB47" s="97"/>
    </row>
    <row r="48" ht="13.5" customHeight="1">
      <c r="A48" s="97"/>
      <c r="B48" s="97"/>
      <c r="C48" s="41"/>
      <c r="D48" s="48" t="s">
        <v>22</v>
      </c>
      <c r="E48" s="143">
        <f>+SUM(E49:E52)</f>
        <v>180308.064</v>
      </c>
      <c r="F48" s="80">
        <f t="shared" ref="F48:Q48" si="7">SUM(F49:F52)</f>
        <v>36488.09</v>
      </c>
      <c r="G48" s="80">
        <f t="shared" si="7"/>
        <v>10606.07</v>
      </c>
      <c r="H48" s="80">
        <f t="shared" si="7"/>
        <v>12277.61</v>
      </c>
      <c r="I48" s="80">
        <f t="shared" si="7"/>
        <v>13670.931</v>
      </c>
      <c r="J48" s="80">
        <f t="shared" si="7"/>
        <v>12606.731</v>
      </c>
      <c r="K48" s="80">
        <f t="shared" si="7"/>
        <v>12653.631</v>
      </c>
      <c r="L48" s="80">
        <f t="shared" si="7"/>
        <v>12846.503</v>
      </c>
      <c r="M48" s="80">
        <f t="shared" si="7"/>
        <v>13185.803</v>
      </c>
      <c r="N48" s="80">
        <f t="shared" si="7"/>
        <v>13525.103</v>
      </c>
      <c r="O48" s="80">
        <f t="shared" si="7"/>
        <v>14535.564</v>
      </c>
      <c r="P48" s="80">
        <f t="shared" si="7"/>
        <v>13786.364</v>
      </c>
      <c r="Q48" s="83">
        <f t="shared" si="7"/>
        <v>14125.664</v>
      </c>
      <c r="R48" s="4"/>
      <c r="S48" s="97"/>
      <c r="T48" s="97"/>
      <c r="U48" s="97"/>
      <c r="V48" s="97"/>
      <c r="W48" s="97"/>
      <c r="X48" s="97"/>
      <c r="Y48" s="97"/>
      <c r="Z48" s="97"/>
      <c r="AA48" s="97"/>
      <c r="AB48" s="97"/>
    </row>
    <row r="49" ht="13.5" customHeight="1">
      <c r="A49" s="97"/>
      <c r="B49" s="97"/>
      <c r="C49" s="56">
        <v>707.0</v>
      </c>
      <c r="D49" s="58" t="s">
        <v>23</v>
      </c>
      <c r="E49" s="60">
        <f t="shared" ref="E49:E52" si="9">+SUM(F49:W49)</f>
        <v>115910.784</v>
      </c>
      <c r="F49" s="62">
        <v>9467.85</v>
      </c>
      <c r="G49" s="144">
        <f t="shared" ref="G49:Q49" si="8">G91*G94</f>
        <v>8629.53</v>
      </c>
      <c r="H49" s="144">
        <f t="shared" si="8"/>
        <v>8968.83</v>
      </c>
      <c r="I49" s="144">
        <f t="shared" si="8"/>
        <v>8958.651</v>
      </c>
      <c r="J49" s="144">
        <f t="shared" si="8"/>
        <v>9297.951</v>
      </c>
      <c r="K49" s="144">
        <f t="shared" si="8"/>
        <v>9524.151</v>
      </c>
      <c r="L49" s="144">
        <f t="shared" si="8"/>
        <v>9537.723</v>
      </c>
      <c r="M49" s="144">
        <f t="shared" si="8"/>
        <v>9877.023</v>
      </c>
      <c r="N49" s="144">
        <f t="shared" si="8"/>
        <v>10216.323</v>
      </c>
      <c r="O49" s="144">
        <f t="shared" si="8"/>
        <v>10138.284</v>
      </c>
      <c r="P49" s="144">
        <f t="shared" si="8"/>
        <v>10477.584</v>
      </c>
      <c r="Q49" s="145">
        <f t="shared" si="8"/>
        <v>10816.884</v>
      </c>
      <c r="R49" s="4"/>
      <c r="S49" s="97"/>
      <c r="T49" s="97"/>
      <c r="U49" s="97"/>
      <c r="V49" s="97"/>
      <c r="W49" s="97"/>
      <c r="X49" s="97"/>
      <c r="Y49" s="97"/>
      <c r="Z49" s="97"/>
      <c r="AA49" s="97"/>
      <c r="AB49" s="97"/>
    </row>
    <row r="50" ht="13.5" customHeight="1">
      <c r="A50" s="97"/>
      <c r="B50" s="97"/>
      <c r="C50" s="56">
        <v>756.0</v>
      </c>
      <c r="D50" s="66" t="s">
        <v>25</v>
      </c>
      <c r="E50" s="60">
        <f t="shared" si="9"/>
        <v>11195</v>
      </c>
      <c r="F50" s="62">
        <v>2510.0</v>
      </c>
      <c r="G50" s="144">
        <f t="shared" ref="G50:H50" si="10">30*19.31</f>
        <v>579.3</v>
      </c>
      <c r="H50" s="144">
        <f t="shared" si="10"/>
        <v>579.3</v>
      </c>
      <c r="I50" s="144">
        <f>30*19.31+(F6+G6+H6)*0.7</f>
        <v>1982.8</v>
      </c>
      <c r="J50" s="144">
        <f>30*19.31</f>
        <v>579.3</v>
      </c>
      <c r="K50" s="144">
        <v>400.0</v>
      </c>
      <c r="L50" s="144">
        <f t="shared" ref="L50:N50" si="11">30*19.31</f>
        <v>579.3</v>
      </c>
      <c r="M50" s="144">
        <f t="shared" si="11"/>
        <v>579.3</v>
      </c>
      <c r="N50" s="144">
        <f t="shared" si="11"/>
        <v>579.3</v>
      </c>
      <c r="O50" s="144">
        <f>30*19.31+(L6+M6+N6)*0.7</f>
        <v>1667.8</v>
      </c>
      <c r="P50" s="144">
        <f t="shared" ref="P50:Q50" si="12">30*19.31</f>
        <v>579.3</v>
      </c>
      <c r="Q50" s="145">
        <f t="shared" si="12"/>
        <v>579.3</v>
      </c>
      <c r="R50" s="4"/>
      <c r="S50" s="97"/>
      <c r="T50" s="97"/>
      <c r="U50" s="97"/>
      <c r="V50" s="97"/>
      <c r="W50" s="97"/>
      <c r="X50" s="97"/>
      <c r="Y50" s="97"/>
      <c r="Z50" s="97"/>
      <c r="AA50" s="97"/>
      <c r="AB50" s="97"/>
    </row>
    <row r="51" ht="13.5" customHeight="1">
      <c r="A51" s="97"/>
      <c r="B51" s="97"/>
      <c r="C51" s="56">
        <v>7561.0</v>
      </c>
      <c r="D51" s="66" t="s">
        <v>26</v>
      </c>
      <c r="E51" s="60">
        <f t="shared" si="9"/>
        <v>23893</v>
      </c>
      <c r="F51" s="62">
        <v>23178.0</v>
      </c>
      <c r="G51" s="146">
        <v>65.0</v>
      </c>
      <c r="H51" s="146">
        <v>65.0</v>
      </c>
      <c r="I51" s="146">
        <v>65.0</v>
      </c>
      <c r="J51" s="146">
        <v>65.0</v>
      </c>
      <c r="K51" s="146">
        <v>65.0</v>
      </c>
      <c r="L51" s="146">
        <v>65.0</v>
      </c>
      <c r="M51" s="146">
        <v>65.0</v>
      </c>
      <c r="N51" s="146">
        <v>65.0</v>
      </c>
      <c r="O51" s="146">
        <v>65.0</v>
      </c>
      <c r="P51" s="146">
        <v>65.0</v>
      </c>
      <c r="Q51" s="147">
        <v>65.0</v>
      </c>
      <c r="R51" s="4"/>
      <c r="S51" s="97"/>
      <c r="T51" s="97"/>
      <c r="U51" s="97"/>
      <c r="V51" s="97"/>
      <c r="W51" s="97"/>
      <c r="X51" s="97"/>
      <c r="Y51" s="97"/>
      <c r="Z51" s="97"/>
      <c r="AA51" s="97"/>
      <c r="AB51" s="97"/>
    </row>
    <row r="52" ht="13.5" customHeight="1">
      <c r="A52" s="97"/>
      <c r="B52" s="97"/>
      <c r="C52" s="56">
        <v>74.0</v>
      </c>
      <c r="D52" s="69" t="s">
        <v>28</v>
      </c>
      <c r="E52" s="70">
        <f t="shared" si="9"/>
        <v>29309.28</v>
      </c>
      <c r="F52" s="62">
        <v>1332.24</v>
      </c>
      <c r="G52" s="146">
        <v>1332.24</v>
      </c>
      <c r="H52" s="146">
        <f t="shared" ref="H52:Q52" si="13">1332.24*2</f>
        <v>2664.48</v>
      </c>
      <c r="I52" s="146">
        <f t="shared" si="13"/>
        <v>2664.48</v>
      </c>
      <c r="J52" s="146">
        <f t="shared" si="13"/>
        <v>2664.48</v>
      </c>
      <c r="K52" s="146">
        <f t="shared" si="13"/>
        <v>2664.48</v>
      </c>
      <c r="L52" s="146">
        <f t="shared" si="13"/>
        <v>2664.48</v>
      </c>
      <c r="M52" s="146">
        <f t="shared" si="13"/>
        <v>2664.48</v>
      </c>
      <c r="N52" s="146">
        <f t="shared" si="13"/>
        <v>2664.48</v>
      </c>
      <c r="O52" s="146">
        <f t="shared" si="13"/>
        <v>2664.48</v>
      </c>
      <c r="P52" s="146">
        <f t="shared" si="13"/>
        <v>2664.48</v>
      </c>
      <c r="Q52" s="147">
        <f t="shared" si="13"/>
        <v>2664.48</v>
      </c>
      <c r="R52" s="4"/>
      <c r="S52" s="97"/>
      <c r="T52" s="97"/>
      <c r="U52" s="97"/>
      <c r="V52" s="97"/>
      <c r="W52" s="97"/>
      <c r="X52" s="97"/>
      <c r="Y52" s="97"/>
      <c r="Z52" s="97"/>
      <c r="AA52" s="97"/>
      <c r="AB52" s="97"/>
    </row>
    <row r="53" ht="13.5" customHeight="1">
      <c r="A53" s="97"/>
      <c r="B53" s="97"/>
      <c r="C53" s="41"/>
      <c r="D53" s="148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4"/>
      <c r="S53" s="97"/>
      <c r="T53" s="97"/>
      <c r="U53" s="97"/>
      <c r="V53" s="97"/>
      <c r="W53" s="97"/>
      <c r="X53" s="97"/>
      <c r="Y53" s="97"/>
      <c r="Z53" s="97"/>
      <c r="AA53" s="97"/>
      <c r="AB53" s="97"/>
    </row>
    <row r="54" ht="13.5" customHeight="1">
      <c r="A54" s="97"/>
      <c r="B54" s="97"/>
      <c r="C54" s="41"/>
      <c r="D54" s="137" t="s">
        <v>29</v>
      </c>
      <c r="E54" s="88">
        <f>SUM(E55:E75)</f>
        <v>170320.1308</v>
      </c>
      <c r="F54" s="88">
        <f t="shared" ref="F54:Q54" si="14">+SUM(F55:F76)</f>
        <v>17784.13721</v>
      </c>
      <c r="G54" s="88">
        <f t="shared" si="14"/>
        <v>14677.27181</v>
      </c>
      <c r="H54" s="88">
        <f t="shared" si="14"/>
        <v>19531.89781</v>
      </c>
      <c r="I54" s="88">
        <f t="shared" si="14"/>
        <v>19413.55103</v>
      </c>
      <c r="J54" s="88">
        <f t="shared" si="14"/>
        <v>13008.77703</v>
      </c>
      <c r="K54" s="88">
        <f t="shared" si="14"/>
        <v>11827.26103</v>
      </c>
      <c r="L54" s="88">
        <f t="shared" si="14"/>
        <v>13533.39007</v>
      </c>
      <c r="M54" s="88">
        <f t="shared" si="14"/>
        <v>13798.61607</v>
      </c>
      <c r="N54" s="88">
        <f t="shared" si="14"/>
        <v>12283.8956</v>
      </c>
      <c r="O54" s="88">
        <f t="shared" si="14"/>
        <v>14683.41717</v>
      </c>
      <c r="P54" s="88">
        <f t="shared" si="14"/>
        <v>14204.7799</v>
      </c>
      <c r="Q54" s="88">
        <f t="shared" si="14"/>
        <v>14089.14262</v>
      </c>
      <c r="R54" s="4"/>
      <c r="S54" s="97"/>
      <c r="T54" s="97"/>
      <c r="U54" s="97"/>
      <c r="V54" s="97"/>
      <c r="W54" s="97"/>
      <c r="X54" s="97"/>
      <c r="Y54" s="97"/>
      <c r="Z54" s="97"/>
      <c r="AA54" s="97"/>
      <c r="AB54" s="97"/>
    </row>
    <row r="55" ht="13.5" customHeight="1">
      <c r="A55" s="97"/>
      <c r="B55" s="97"/>
      <c r="C55" s="56">
        <v>213.0</v>
      </c>
      <c r="D55" s="86" t="s">
        <v>36</v>
      </c>
      <c r="E55" s="88">
        <f t="shared" ref="E55:E75" si="15">+SUM(F55:W55)</f>
        <v>2163.1</v>
      </c>
      <c r="F55" s="146">
        <v>663.1</v>
      </c>
      <c r="G55" s="146"/>
      <c r="H55" s="146">
        <v>1500.0</v>
      </c>
      <c r="I55" s="146"/>
      <c r="J55" s="146"/>
      <c r="K55" s="146"/>
      <c r="L55" s="146"/>
      <c r="M55" s="146"/>
      <c r="N55" s="146"/>
      <c r="O55" s="146"/>
      <c r="P55" s="146"/>
      <c r="Q55" s="147"/>
      <c r="R55" s="149" t="s">
        <v>96</v>
      </c>
      <c r="S55" s="97"/>
      <c r="T55" s="97"/>
      <c r="U55" s="97"/>
      <c r="V55" s="97"/>
      <c r="W55" s="97"/>
      <c r="X55" s="97"/>
      <c r="Y55" s="97"/>
      <c r="Z55" s="97"/>
      <c r="AA55" s="97"/>
      <c r="AB55" s="97"/>
    </row>
    <row r="56" ht="13.5" customHeight="1">
      <c r="A56" s="97"/>
      <c r="B56" s="97"/>
      <c r="C56" s="56">
        <v>2184.0</v>
      </c>
      <c r="D56" s="86" t="s">
        <v>37</v>
      </c>
      <c r="E56" s="88">
        <f t="shared" si="15"/>
        <v>7000</v>
      </c>
      <c r="F56" s="146">
        <v>0.0</v>
      </c>
      <c r="G56" s="146"/>
      <c r="H56" s="146">
        <v>7000.0</v>
      </c>
      <c r="I56" s="146"/>
      <c r="J56" s="146"/>
      <c r="K56" s="146"/>
      <c r="L56" s="146"/>
      <c r="M56" s="146"/>
      <c r="N56" s="146"/>
      <c r="O56" s="146"/>
      <c r="P56" s="146"/>
      <c r="Q56" s="147"/>
      <c r="R56" s="149" t="s">
        <v>97</v>
      </c>
      <c r="S56" s="97"/>
      <c r="T56" s="97"/>
      <c r="U56" s="97"/>
      <c r="V56" s="97"/>
      <c r="W56" s="97"/>
      <c r="X56" s="97"/>
      <c r="Y56" s="97"/>
      <c r="Z56" s="97"/>
      <c r="AA56" s="97"/>
      <c r="AB56" s="97"/>
    </row>
    <row r="57" ht="13.5" customHeight="1">
      <c r="A57" s="97"/>
      <c r="B57" s="97"/>
      <c r="C57" s="56">
        <v>2755.0</v>
      </c>
      <c r="D57" s="86" t="s">
        <v>38</v>
      </c>
      <c r="E57" s="88">
        <f t="shared" si="15"/>
        <v>0</v>
      </c>
      <c r="F57" s="62">
        <v>0.0</v>
      </c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7"/>
      <c r="R57" s="149"/>
      <c r="S57" s="97"/>
      <c r="T57" s="97"/>
      <c r="U57" s="97"/>
      <c r="V57" s="97"/>
      <c r="W57" s="97"/>
      <c r="X57" s="97"/>
      <c r="Y57" s="97"/>
      <c r="Z57" s="97"/>
      <c r="AA57" s="97"/>
      <c r="AB57" s="97"/>
    </row>
    <row r="58" ht="13.5" customHeight="1">
      <c r="A58" s="97"/>
      <c r="B58" s="97"/>
      <c r="C58" s="56">
        <v>4456.0</v>
      </c>
      <c r="D58" s="86" t="s">
        <v>165</v>
      </c>
      <c r="E58" s="88">
        <f t="shared" si="15"/>
        <v>749.1649394</v>
      </c>
      <c r="F58" s="62"/>
      <c r="G58" s="146"/>
      <c r="H58" s="146"/>
      <c r="I58" s="146"/>
      <c r="J58" s="146"/>
      <c r="K58" s="146"/>
      <c r="L58" s="146"/>
      <c r="M58" s="146"/>
      <c r="N58" s="146">
        <f t="shared" ref="N58:Q58" si="16">(N49*0.1)-(N64-N64/1.1)-(SUM(N60,N63,N61,N66,N67,N68,N69,N70,N71)-(SUM(N60,N63,N61,N66,N67,N68,N69,N70,N71)/1.2))</f>
        <v>210.0535248</v>
      </c>
      <c r="O58" s="146">
        <f t="shared" si="16"/>
        <v>152.5670776</v>
      </c>
      <c r="P58" s="146">
        <f t="shared" si="16"/>
        <v>216.7038048</v>
      </c>
      <c r="Q58" s="146">
        <f t="shared" si="16"/>
        <v>169.8405321</v>
      </c>
      <c r="R58" s="149"/>
      <c r="S58" s="97"/>
      <c r="T58" s="97"/>
      <c r="U58" s="97"/>
      <c r="V58" s="97"/>
      <c r="W58" s="97"/>
      <c r="X58" s="97"/>
      <c r="Y58" s="97"/>
      <c r="Z58" s="97"/>
      <c r="AA58" s="97"/>
      <c r="AB58" s="97"/>
    </row>
    <row r="59" ht="13.5" customHeight="1">
      <c r="A59" s="97"/>
      <c r="B59" s="97"/>
      <c r="C59" s="56">
        <v>447.0</v>
      </c>
      <c r="D59" s="86" t="s">
        <v>39</v>
      </c>
      <c r="E59" s="88">
        <f t="shared" si="15"/>
        <v>5285</v>
      </c>
      <c r="F59" s="62">
        <v>0.0</v>
      </c>
      <c r="G59" s="146"/>
      <c r="H59" s="146"/>
      <c r="I59" s="146">
        <v>5285.0</v>
      </c>
      <c r="J59" s="146"/>
      <c r="K59" s="146"/>
      <c r="L59" s="146"/>
      <c r="M59" s="146"/>
      <c r="N59" s="146"/>
      <c r="O59" s="146"/>
      <c r="P59" s="146"/>
      <c r="Q59" s="147"/>
      <c r="R59" s="149" t="s">
        <v>98</v>
      </c>
      <c r="S59" s="97"/>
      <c r="T59" s="97"/>
      <c r="U59" s="97"/>
      <c r="V59" s="97"/>
      <c r="W59" s="97"/>
      <c r="X59" s="97"/>
      <c r="Y59" s="97"/>
      <c r="Z59" s="97"/>
      <c r="AA59" s="97"/>
      <c r="AB59" s="97"/>
    </row>
    <row r="60" ht="13.5" customHeight="1">
      <c r="A60" s="97"/>
      <c r="B60" s="97"/>
      <c r="C60" s="56">
        <v>604.0</v>
      </c>
      <c r="D60" s="66" t="s">
        <v>99</v>
      </c>
      <c r="E60" s="60">
        <f t="shared" si="15"/>
        <v>3405.32</v>
      </c>
      <c r="F60" s="62">
        <v>1555.32</v>
      </c>
      <c r="G60" s="144">
        <f>1300+50</f>
        <v>1350</v>
      </c>
      <c r="H60" s="144">
        <f t="shared" ref="H60:Q60" si="17">50</f>
        <v>50</v>
      </c>
      <c r="I60" s="144">
        <f t="shared" si="17"/>
        <v>50</v>
      </c>
      <c r="J60" s="144">
        <f t="shared" si="17"/>
        <v>50</v>
      </c>
      <c r="K60" s="144">
        <f t="shared" si="17"/>
        <v>50</v>
      </c>
      <c r="L60" s="144">
        <f t="shared" si="17"/>
        <v>50</v>
      </c>
      <c r="M60" s="144">
        <f t="shared" si="17"/>
        <v>50</v>
      </c>
      <c r="N60" s="144">
        <f t="shared" si="17"/>
        <v>50</v>
      </c>
      <c r="O60" s="144">
        <f t="shared" si="17"/>
        <v>50</v>
      </c>
      <c r="P60" s="144">
        <f t="shared" si="17"/>
        <v>50</v>
      </c>
      <c r="Q60" s="145">
        <f t="shared" si="17"/>
        <v>50</v>
      </c>
      <c r="R60" s="4"/>
      <c r="S60" s="97"/>
      <c r="T60" s="97"/>
      <c r="U60" s="97"/>
      <c r="V60" s="97"/>
      <c r="W60" s="97"/>
      <c r="X60" s="97"/>
      <c r="Y60" s="97"/>
      <c r="Z60" s="97"/>
      <c r="AA60" s="97"/>
      <c r="AB60" s="97"/>
    </row>
    <row r="61" ht="13.5" customHeight="1">
      <c r="A61" s="97"/>
      <c r="B61" s="97"/>
      <c r="C61" s="56">
        <v>60612.0</v>
      </c>
      <c r="D61" s="66" t="s">
        <v>42</v>
      </c>
      <c r="E61" s="60">
        <f t="shared" si="15"/>
        <v>1998</v>
      </c>
      <c r="F61" s="62">
        <v>0.0</v>
      </c>
      <c r="G61" s="144">
        <v>333.0</v>
      </c>
      <c r="H61" s="144"/>
      <c r="I61" s="144">
        <v>333.0</v>
      </c>
      <c r="J61" s="144"/>
      <c r="K61" s="144">
        <v>333.0</v>
      </c>
      <c r="L61" s="144"/>
      <c r="M61" s="144">
        <v>333.0</v>
      </c>
      <c r="N61" s="144"/>
      <c r="O61" s="144">
        <v>333.0</v>
      </c>
      <c r="P61" s="144"/>
      <c r="Q61" s="145">
        <v>333.0</v>
      </c>
      <c r="R61" s="155" t="s">
        <v>100</v>
      </c>
      <c r="S61" s="97"/>
      <c r="T61" s="97"/>
      <c r="U61" s="97"/>
      <c r="V61" s="97"/>
      <c r="W61" s="97"/>
      <c r="X61" s="97"/>
      <c r="Y61" s="97"/>
      <c r="Z61" s="97"/>
      <c r="AA61" s="97"/>
      <c r="AB61" s="97"/>
    </row>
    <row r="62" ht="13.5" customHeight="1">
      <c r="A62" s="97"/>
      <c r="B62" s="97"/>
      <c r="C62" s="56">
        <v>60611.0</v>
      </c>
      <c r="D62" s="66" t="s">
        <v>44</v>
      </c>
      <c r="E62" s="60">
        <f t="shared" si="15"/>
        <v>260</v>
      </c>
      <c r="F62" s="62">
        <v>0.0</v>
      </c>
      <c r="G62" s="144"/>
      <c r="H62" s="144"/>
      <c r="I62" s="144">
        <v>130.0</v>
      </c>
      <c r="J62" s="144"/>
      <c r="K62" s="144"/>
      <c r="L62" s="144"/>
      <c r="M62" s="144"/>
      <c r="N62" s="144"/>
      <c r="O62" s="144">
        <v>130.0</v>
      </c>
      <c r="P62" s="144"/>
      <c r="Q62" s="145"/>
      <c r="R62" s="4"/>
      <c r="S62" s="97"/>
      <c r="T62" s="97"/>
      <c r="U62" s="97"/>
      <c r="V62" s="97"/>
      <c r="W62" s="97"/>
      <c r="X62" s="97"/>
      <c r="Y62" s="97"/>
      <c r="Z62" s="97"/>
      <c r="AA62" s="97"/>
      <c r="AB62" s="97"/>
    </row>
    <row r="63" ht="13.5" customHeight="1">
      <c r="A63" s="97"/>
      <c r="B63" s="97"/>
      <c r="C63" s="56">
        <v>6064.0</v>
      </c>
      <c r="D63" s="66" t="s">
        <v>45</v>
      </c>
      <c r="E63" s="60">
        <f t="shared" si="15"/>
        <v>1090.26</v>
      </c>
      <c r="F63" s="62">
        <v>190.26</v>
      </c>
      <c r="G63" s="144">
        <f>350+50</f>
        <v>400</v>
      </c>
      <c r="H63" s="144">
        <v>50.0</v>
      </c>
      <c r="I63" s="144">
        <v>50.0</v>
      </c>
      <c r="J63" s="144">
        <v>50.0</v>
      </c>
      <c r="K63" s="144">
        <v>50.0</v>
      </c>
      <c r="L63" s="144">
        <v>50.0</v>
      </c>
      <c r="M63" s="144">
        <v>50.0</v>
      </c>
      <c r="N63" s="144">
        <v>50.0</v>
      </c>
      <c r="O63" s="144">
        <v>50.0</v>
      </c>
      <c r="P63" s="144">
        <v>50.0</v>
      </c>
      <c r="Q63" s="145">
        <v>50.0</v>
      </c>
      <c r="R63" s="4"/>
      <c r="S63" s="97"/>
      <c r="T63" s="97"/>
      <c r="U63" s="97"/>
      <c r="V63" s="97"/>
      <c r="W63" s="97"/>
      <c r="X63" s="97"/>
      <c r="Y63" s="97"/>
      <c r="Z63" s="97"/>
      <c r="AA63" s="97"/>
      <c r="AB63" s="97"/>
    </row>
    <row r="64" ht="13.5" customHeight="1">
      <c r="A64" s="97"/>
      <c r="B64" s="97"/>
      <c r="C64" s="56">
        <v>607.0</v>
      </c>
      <c r="D64" s="58" t="s">
        <v>46</v>
      </c>
      <c r="E64" s="60">
        <f t="shared" si="15"/>
        <v>99154.01588</v>
      </c>
      <c r="F64" s="156">
        <v>11870.81</v>
      </c>
      <c r="G64" s="144">
        <f t="shared" ref="G64:Q64" si="18">+G49*0.82</f>
        <v>7076.2146</v>
      </c>
      <c r="H64" s="144">
        <f t="shared" si="18"/>
        <v>7354.4406</v>
      </c>
      <c r="I64" s="144">
        <f t="shared" si="18"/>
        <v>7346.09382</v>
      </c>
      <c r="J64" s="144">
        <f t="shared" si="18"/>
        <v>7624.31982</v>
      </c>
      <c r="K64" s="144">
        <f t="shared" si="18"/>
        <v>7809.80382</v>
      </c>
      <c r="L64" s="144">
        <f t="shared" si="18"/>
        <v>7820.93286</v>
      </c>
      <c r="M64" s="144">
        <f t="shared" si="18"/>
        <v>8099.15886</v>
      </c>
      <c r="N64" s="144">
        <f t="shared" si="18"/>
        <v>8377.38486</v>
      </c>
      <c r="O64" s="144">
        <f t="shared" si="18"/>
        <v>8313.39288</v>
      </c>
      <c r="P64" s="144">
        <f t="shared" si="18"/>
        <v>8591.61888</v>
      </c>
      <c r="Q64" s="145">
        <f t="shared" si="18"/>
        <v>8869.84488</v>
      </c>
      <c r="R64" s="155" t="s">
        <v>175</v>
      </c>
      <c r="S64" s="97"/>
      <c r="T64" s="97"/>
      <c r="U64" s="97"/>
      <c r="V64" s="97"/>
      <c r="W64" s="97"/>
      <c r="X64" s="97"/>
      <c r="Y64" s="97"/>
      <c r="Z64" s="97"/>
      <c r="AA64" s="97"/>
      <c r="AB64" s="97"/>
    </row>
    <row r="65" ht="13.5" customHeight="1">
      <c r="A65" s="97"/>
      <c r="B65" s="97"/>
      <c r="C65" s="56">
        <v>6132.0</v>
      </c>
      <c r="D65" s="66" t="s">
        <v>105</v>
      </c>
      <c r="E65" s="60">
        <f t="shared" si="15"/>
        <v>9910</v>
      </c>
      <c r="F65" s="62">
        <v>0.0</v>
      </c>
      <c r="G65" s="144">
        <v>1950.0</v>
      </c>
      <c r="H65" s="144">
        <f>30+100</f>
        <v>130</v>
      </c>
      <c r="I65" s="144">
        <v>30.0</v>
      </c>
      <c r="J65" s="144">
        <f>1950+30</f>
        <v>1980</v>
      </c>
      <c r="K65" s="144">
        <f>30+250</f>
        <v>280</v>
      </c>
      <c r="L65" s="144">
        <v>0.0</v>
      </c>
      <c r="M65" s="144">
        <v>1950.0</v>
      </c>
      <c r="N65" s="144">
        <f>30+250</f>
        <v>280</v>
      </c>
      <c r="O65" s="144">
        <v>30.0</v>
      </c>
      <c r="P65" s="144">
        <f>30+1950</f>
        <v>1980</v>
      </c>
      <c r="Q65" s="145">
        <v>1300.0</v>
      </c>
      <c r="R65" s="157" t="s">
        <v>107</v>
      </c>
      <c r="S65" s="97"/>
      <c r="T65" s="97"/>
      <c r="U65" s="97"/>
      <c r="V65" s="97"/>
      <c r="W65" s="97"/>
      <c r="X65" s="97"/>
      <c r="Y65" s="97"/>
      <c r="Z65" s="97"/>
      <c r="AA65" s="97"/>
      <c r="AB65" s="97"/>
    </row>
    <row r="66" ht="13.5" customHeight="1">
      <c r="A66" s="97"/>
      <c r="B66" s="97"/>
      <c r="C66" s="56">
        <v>6152.0</v>
      </c>
      <c r="D66" s="66" t="s">
        <v>48</v>
      </c>
      <c r="E66" s="60">
        <f t="shared" si="15"/>
        <v>1685.27</v>
      </c>
      <c r="F66" s="62">
        <v>35.27</v>
      </c>
      <c r="G66" s="144">
        <v>850.0</v>
      </c>
      <c r="H66" s="144">
        <v>80.0</v>
      </c>
      <c r="I66" s="144">
        <v>80.0</v>
      </c>
      <c r="J66" s="144">
        <v>80.0</v>
      </c>
      <c r="K66" s="144">
        <v>80.0</v>
      </c>
      <c r="L66" s="144">
        <v>80.0</v>
      </c>
      <c r="M66" s="144">
        <v>80.0</v>
      </c>
      <c r="N66" s="144">
        <v>80.0</v>
      </c>
      <c r="O66" s="144">
        <v>80.0</v>
      </c>
      <c r="P66" s="144">
        <v>80.0</v>
      </c>
      <c r="Q66" s="145">
        <v>80.0</v>
      </c>
      <c r="R66" s="158"/>
      <c r="S66" s="97"/>
      <c r="T66" s="97"/>
      <c r="U66" s="97"/>
      <c r="V66" s="97"/>
      <c r="W66" s="97"/>
      <c r="X66" s="97"/>
      <c r="Y66" s="97"/>
      <c r="Z66" s="97"/>
      <c r="AA66" s="97"/>
      <c r="AB66" s="97"/>
    </row>
    <row r="67" ht="13.5" customHeight="1">
      <c r="A67" s="97"/>
      <c r="B67" s="97"/>
      <c r="C67" s="56">
        <v>616.0</v>
      </c>
      <c r="D67" s="66" t="s">
        <v>49</v>
      </c>
      <c r="E67" s="60">
        <f t="shared" si="15"/>
        <v>299.26</v>
      </c>
      <c r="F67" s="62">
        <v>299.26</v>
      </c>
      <c r="G67" s="144">
        <v>0.0</v>
      </c>
      <c r="H67" s="144">
        <v>0.0</v>
      </c>
      <c r="I67" s="144">
        <v>0.0</v>
      </c>
      <c r="J67" s="144">
        <v>0.0</v>
      </c>
      <c r="K67" s="144">
        <v>0.0</v>
      </c>
      <c r="L67" s="160">
        <v>0.0</v>
      </c>
      <c r="M67" s="144">
        <v>0.0</v>
      </c>
      <c r="N67" s="144">
        <v>0.0</v>
      </c>
      <c r="O67" s="144">
        <v>0.0</v>
      </c>
      <c r="P67" s="144">
        <v>0.0</v>
      </c>
      <c r="Q67" s="145">
        <v>0.0</v>
      </c>
      <c r="R67" s="161"/>
      <c r="S67" s="97"/>
      <c r="T67" s="97"/>
      <c r="U67" s="97"/>
      <c r="V67" s="97"/>
      <c r="W67" s="97"/>
      <c r="X67" s="97"/>
      <c r="Y67" s="97"/>
      <c r="Z67" s="97"/>
      <c r="AA67" s="97"/>
      <c r="AB67" s="97"/>
    </row>
    <row r="68" ht="13.5" customHeight="1">
      <c r="A68" s="97"/>
      <c r="B68" s="97"/>
      <c r="C68" s="56">
        <v>6227.0</v>
      </c>
      <c r="D68" s="66" t="s">
        <v>51</v>
      </c>
      <c r="E68" s="60">
        <f t="shared" si="15"/>
        <v>0</v>
      </c>
      <c r="F68" s="62">
        <v>0.0</v>
      </c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5"/>
      <c r="R68" s="158"/>
      <c r="S68" s="97"/>
      <c r="T68" s="97"/>
      <c r="U68" s="97"/>
      <c r="V68" s="97"/>
      <c r="W68" s="97"/>
      <c r="X68" s="97"/>
      <c r="Y68" s="97"/>
      <c r="Z68" s="97"/>
      <c r="AA68" s="97"/>
      <c r="AB68" s="97"/>
    </row>
    <row r="69" ht="13.5" customHeight="1">
      <c r="A69" s="97"/>
      <c r="B69" s="97"/>
      <c r="C69" s="56">
        <v>6251.0</v>
      </c>
      <c r="D69" s="66" t="s">
        <v>52</v>
      </c>
      <c r="E69" s="60">
        <f t="shared" si="15"/>
        <v>704</v>
      </c>
      <c r="F69" s="62">
        <v>44.0</v>
      </c>
      <c r="G69" s="144">
        <v>60.0</v>
      </c>
      <c r="H69" s="144">
        <v>60.0</v>
      </c>
      <c r="I69" s="144">
        <v>60.0</v>
      </c>
      <c r="J69" s="144">
        <v>60.0</v>
      </c>
      <c r="K69" s="144">
        <v>60.0</v>
      </c>
      <c r="L69" s="144">
        <v>60.0</v>
      </c>
      <c r="M69" s="144">
        <v>60.0</v>
      </c>
      <c r="N69" s="144">
        <v>60.0</v>
      </c>
      <c r="O69" s="144">
        <v>60.0</v>
      </c>
      <c r="P69" s="144">
        <v>60.0</v>
      </c>
      <c r="Q69" s="145">
        <v>60.0</v>
      </c>
      <c r="R69" s="158"/>
      <c r="S69" s="97"/>
      <c r="T69" s="97"/>
      <c r="U69" s="97"/>
      <c r="V69" s="97"/>
      <c r="W69" s="97"/>
      <c r="X69" s="97"/>
      <c r="Y69" s="97"/>
      <c r="Z69" s="97"/>
      <c r="AA69" s="97"/>
      <c r="AB69" s="97"/>
    </row>
    <row r="70" ht="13.5" customHeight="1">
      <c r="A70" s="97"/>
      <c r="B70" s="97"/>
      <c r="C70" s="56">
        <v>626.0</v>
      </c>
      <c r="D70" s="66" t="s">
        <v>53</v>
      </c>
      <c r="E70" s="60">
        <f t="shared" si="15"/>
        <v>387.5</v>
      </c>
      <c r="F70" s="62">
        <v>19.61</v>
      </c>
      <c r="G70" s="144">
        <f t="shared" ref="G70:L70" si="19">17.99+10</f>
        <v>27.99</v>
      </c>
      <c r="H70" s="144">
        <f t="shared" si="19"/>
        <v>27.99</v>
      </c>
      <c r="I70" s="144">
        <f t="shared" si="19"/>
        <v>27.99</v>
      </c>
      <c r="J70" s="144">
        <f t="shared" si="19"/>
        <v>27.99</v>
      </c>
      <c r="K70" s="144">
        <f t="shared" si="19"/>
        <v>27.99</v>
      </c>
      <c r="L70" s="144">
        <f t="shared" si="19"/>
        <v>27.99</v>
      </c>
      <c r="M70" s="144">
        <f t="shared" ref="M70:Q70" si="20">10+29.99</f>
        <v>39.99</v>
      </c>
      <c r="N70" s="144">
        <f t="shared" si="20"/>
        <v>39.99</v>
      </c>
      <c r="O70" s="144">
        <f t="shared" si="20"/>
        <v>39.99</v>
      </c>
      <c r="P70" s="144">
        <f t="shared" si="20"/>
        <v>39.99</v>
      </c>
      <c r="Q70" s="145">
        <f t="shared" si="20"/>
        <v>39.99</v>
      </c>
      <c r="R70" s="157" t="s">
        <v>112</v>
      </c>
      <c r="S70" s="97"/>
      <c r="T70" s="97"/>
      <c r="U70" s="97"/>
      <c r="V70" s="97"/>
      <c r="W70" s="97"/>
      <c r="X70" s="97"/>
      <c r="Y70" s="97"/>
      <c r="Z70" s="97"/>
      <c r="AA70" s="97"/>
      <c r="AB70" s="97"/>
    </row>
    <row r="71" ht="13.5" customHeight="1">
      <c r="A71" s="97"/>
      <c r="B71" s="97"/>
      <c r="C71" s="56">
        <v>627.0</v>
      </c>
      <c r="D71" s="66" t="s">
        <v>50</v>
      </c>
      <c r="E71" s="60">
        <f t="shared" si="15"/>
        <v>227.3</v>
      </c>
      <c r="F71" s="62">
        <v>7.3</v>
      </c>
      <c r="G71" s="144">
        <v>20.0</v>
      </c>
      <c r="H71" s="144">
        <v>20.0</v>
      </c>
      <c r="I71" s="144">
        <v>20.0</v>
      </c>
      <c r="J71" s="144">
        <v>20.0</v>
      </c>
      <c r="K71" s="144">
        <v>20.0</v>
      </c>
      <c r="L71" s="144">
        <v>20.0</v>
      </c>
      <c r="M71" s="144">
        <v>20.0</v>
      </c>
      <c r="N71" s="144">
        <v>20.0</v>
      </c>
      <c r="O71" s="144">
        <v>20.0</v>
      </c>
      <c r="P71" s="144">
        <v>20.0</v>
      </c>
      <c r="Q71" s="145">
        <v>20.0</v>
      </c>
      <c r="R71" s="158"/>
      <c r="S71" s="97"/>
      <c r="T71" s="97"/>
      <c r="U71" s="97"/>
      <c r="V71" s="97"/>
      <c r="W71" s="97"/>
      <c r="X71" s="97"/>
      <c r="Y71" s="97"/>
      <c r="Z71" s="97"/>
      <c r="AA71" s="97"/>
      <c r="AB71" s="97"/>
    </row>
    <row r="72" ht="13.5" customHeight="1">
      <c r="A72" s="97"/>
      <c r="B72" s="97"/>
      <c r="C72" s="56">
        <v>6411.0</v>
      </c>
      <c r="D72" s="66" t="s">
        <v>54</v>
      </c>
      <c r="E72" s="60">
        <f t="shared" si="15"/>
        <v>24714.89</v>
      </c>
      <c r="F72" s="144">
        <v>1123.49</v>
      </c>
      <c r="G72" s="144">
        <f>1123.4</f>
        <v>1123.4</v>
      </c>
      <c r="H72" s="144">
        <f t="shared" ref="H72:Q72" si="21">2246.8</f>
        <v>2246.8</v>
      </c>
      <c r="I72" s="144">
        <f t="shared" si="21"/>
        <v>2246.8</v>
      </c>
      <c r="J72" s="144">
        <f t="shared" si="21"/>
        <v>2246.8</v>
      </c>
      <c r="K72" s="144">
        <f t="shared" si="21"/>
        <v>2246.8</v>
      </c>
      <c r="L72" s="144">
        <f t="shared" si="21"/>
        <v>2246.8</v>
      </c>
      <c r="M72" s="144">
        <f t="shared" si="21"/>
        <v>2246.8</v>
      </c>
      <c r="N72" s="144">
        <f t="shared" si="21"/>
        <v>2246.8</v>
      </c>
      <c r="O72" s="144">
        <f t="shared" si="21"/>
        <v>2246.8</v>
      </c>
      <c r="P72" s="144">
        <f t="shared" si="21"/>
        <v>2246.8</v>
      </c>
      <c r="Q72" s="145">
        <f t="shared" si="21"/>
        <v>2246.8</v>
      </c>
      <c r="R72" s="158"/>
      <c r="S72" s="97"/>
      <c r="T72" s="97"/>
      <c r="U72" s="97"/>
      <c r="V72" s="97"/>
      <c r="W72" s="97"/>
      <c r="X72" s="97"/>
      <c r="Y72" s="97"/>
      <c r="Z72" s="97"/>
      <c r="AA72" s="97"/>
      <c r="AB72" s="97"/>
    </row>
    <row r="73" ht="13.5" customHeight="1">
      <c r="A73" s="97"/>
      <c r="B73" s="97"/>
      <c r="C73" s="56">
        <v>6451.0</v>
      </c>
      <c r="D73" s="69" t="s">
        <v>92</v>
      </c>
      <c r="E73" s="60">
        <f t="shared" si="15"/>
        <v>10549</v>
      </c>
      <c r="F73" s="144">
        <v>1078.0</v>
      </c>
      <c r="G73" s="144">
        <f>529+55+143</f>
        <v>727</v>
      </c>
      <c r="H73" s="144">
        <f>110+143</f>
        <v>253</v>
      </c>
      <c r="I73" s="144">
        <f>(577*5+110)</f>
        <v>2995</v>
      </c>
      <c r="J73" s="144">
        <f t="shared" ref="J73:K73" si="22">110</f>
        <v>110</v>
      </c>
      <c r="K73" s="144">
        <f t="shared" si="22"/>
        <v>110</v>
      </c>
      <c r="L73" s="144">
        <f>(577*4)+110</f>
        <v>2418</v>
      </c>
      <c r="M73" s="144">
        <v>110.0</v>
      </c>
      <c r="N73" s="144">
        <v>110.0</v>
      </c>
      <c r="O73" s="144">
        <f>(577*4)+110</f>
        <v>2418</v>
      </c>
      <c r="P73" s="144">
        <v>110.0</v>
      </c>
      <c r="Q73" s="145">
        <v>110.0</v>
      </c>
      <c r="R73" s="157" t="s">
        <v>115</v>
      </c>
      <c r="S73" s="97"/>
      <c r="T73" s="97"/>
      <c r="U73" s="97"/>
      <c r="V73" s="97"/>
      <c r="W73" s="97"/>
      <c r="X73" s="97"/>
      <c r="Y73" s="97"/>
      <c r="Z73" s="97"/>
      <c r="AA73" s="97"/>
      <c r="AB73" s="97"/>
    </row>
    <row r="74" ht="13.5" customHeight="1">
      <c r="A74" s="97"/>
      <c r="B74" s="97"/>
      <c r="C74" s="56">
        <v>651.0</v>
      </c>
      <c r="D74" s="86" t="s">
        <v>56</v>
      </c>
      <c r="E74" s="143">
        <f t="shared" si="15"/>
        <v>129.05</v>
      </c>
      <c r="F74" s="144">
        <v>129.05</v>
      </c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5"/>
      <c r="R74" s="158"/>
      <c r="S74" s="97"/>
      <c r="T74" s="97"/>
      <c r="U74" s="97"/>
      <c r="V74" s="97"/>
      <c r="W74" s="97"/>
      <c r="X74" s="97"/>
      <c r="Y74" s="97"/>
      <c r="Z74" s="97"/>
      <c r="AA74" s="97"/>
      <c r="AB74" s="97"/>
    </row>
    <row r="75" ht="13.5" customHeight="1">
      <c r="A75" s="97"/>
      <c r="B75" s="97"/>
      <c r="C75" s="56">
        <v>6713.0</v>
      </c>
      <c r="D75" s="86" t="s">
        <v>57</v>
      </c>
      <c r="E75" s="143">
        <f t="shared" si="15"/>
        <v>609</v>
      </c>
      <c r="F75" s="144">
        <v>59.0</v>
      </c>
      <c r="G75" s="144">
        <v>50.0</v>
      </c>
      <c r="H75" s="144">
        <v>50.0</v>
      </c>
      <c r="I75" s="144">
        <v>50.0</v>
      </c>
      <c r="J75" s="144">
        <v>50.0</v>
      </c>
      <c r="K75" s="144">
        <v>50.0</v>
      </c>
      <c r="L75" s="144">
        <v>50.0</v>
      </c>
      <c r="M75" s="144">
        <v>50.0</v>
      </c>
      <c r="N75" s="144">
        <v>50.0</v>
      </c>
      <c r="O75" s="144">
        <v>50.0</v>
      </c>
      <c r="P75" s="144">
        <v>50.0</v>
      </c>
      <c r="Q75" s="145">
        <v>50.0</v>
      </c>
      <c r="R75" s="158"/>
      <c r="S75" s="97"/>
      <c r="T75" s="97"/>
      <c r="U75" s="97"/>
      <c r="V75" s="97"/>
      <c r="W75" s="97"/>
      <c r="X75" s="97"/>
      <c r="Y75" s="97"/>
      <c r="Z75" s="97"/>
      <c r="AA75" s="97"/>
      <c r="AB75" s="97"/>
    </row>
    <row r="76" ht="13.5" customHeight="1">
      <c r="A76" s="97"/>
      <c r="B76" s="97"/>
      <c r="C76" s="56"/>
      <c r="D76" s="168" t="s">
        <v>117</v>
      </c>
      <c r="E76" s="170">
        <f>(E54*0.05)</f>
        <v>8516.006541</v>
      </c>
      <c r="F76" s="172">
        <f t="shared" ref="F76:Q76" si="23">$E$76/12</f>
        <v>709.6672117</v>
      </c>
      <c r="G76" s="172">
        <f t="shared" si="23"/>
        <v>709.6672117</v>
      </c>
      <c r="H76" s="172">
        <f t="shared" si="23"/>
        <v>709.6672117</v>
      </c>
      <c r="I76" s="172">
        <f t="shared" si="23"/>
        <v>709.6672117</v>
      </c>
      <c r="J76" s="172">
        <f t="shared" si="23"/>
        <v>709.6672117</v>
      </c>
      <c r="K76" s="172">
        <f t="shared" si="23"/>
        <v>709.6672117</v>
      </c>
      <c r="L76" s="172">
        <f t="shared" si="23"/>
        <v>709.6672117</v>
      </c>
      <c r="M76" s="172">
        <f t="shared" si="23"/>
        <v>709.6672117</v>
      </c>
      <c r="N76" s="172">
        <f t="shared" si="23"/>
        <v>709.6672117</v>
      </c>
      <c r="O76" s="172">
        <f t="shared" si="23"/>
        <v>709.6672117</v>
      </c>
      <c r="P76" s="172">
        <f t="shared" si="23"/>
        <v>709.6672117</v>
      </c>
      <c r="Q76" s="172">
        <f t="shared" si="23"/>
        <v>709.6672117</v>
      </c>
      <c r="R76" s="157" t="s">
        <v>121</v>
      </c>
      <c r="S76" s="97"/>
      <c r="T76" s="97"/>
      <c r="U76" s="97"/>
      <c r="V76" s="97"/>
      <c r="W76" s="97"/>
      <c r="X76" s="97"/>
      <c r="Y76" s="97"/>
      <c r="Z76" s="97"/>
      <c r="AA76" s="97"/>
      <c r="AB76" s="97"/>
    </row>
    <row r="77" ht="13.5" customHeight="1">
      <c r="A77" s="97"/>
      <c r="B77" s="97"/>
      <c r="C77" s="174"/>
      <c r="D77" s="175"/>
      <c r="E77" s="176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80"/>
      <c r="S77" s="97"/>
      <c r="T77" s="97"/>
      <c r="U77" s="97"/>
      <c r="V77" s="97"/>
      <c r="W77" s="97"/>
      <c r="X77" s="97"/>
      <c r="Y77" s="97"/>
      <c r="Z77" s="97"/>
      <c r="AA77" s="97"/>
      <c r="AB77" s="97"/>
    </row>
    <row r="78" ht="13.5" customHeight="1">
      <c r="A78" s="97"/>
      <c r="B78" s="97"/>
      <c r="C78" s="104">
        <v>40.0</v>
      </c>
      <c r="D78" s="182" t="s">
        <v>60</v>
      </c>
      <c r="E78" s="60">
        <f>SUM(F78:Q78)</f>
        <v>5866.29</v>
      </c>
      <c r="F78" s="62">
        <v>5866.29</v>
      </c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5"/>
      <c r="R78" s="180"/>
      <c r="S78" s="97"/>
      <c r="T78" s="97"/>
      <c r="U78" s="97"/>
      <c r="V78" s="97"/>
      <c r="W78" s="97"/>
      <c r="X78" s="97"/>
      <c r="Y78" s="97"/>
      <c r="Z78" s="97"/>
      <c r="AA78" s="97"/>
      <c r="AB78" s="97"/>
    </row>
    <row r="79" ht="13.5" customHeight="1">
      <c r="A79" s="97"/>
      <c r="B79" s="97"/>
      <c r="C79" s="110"/>
      <c r="D79" s="186"/>
      <c r="E79" s="186"/>
      <c r="F79" s="62"/>
      <c r="G79" s="186"/>
      <c r="H79" s="186"/>
      <c r="I79" s="186"/>
      <c r="J79" s="186"/>
      <c r="K79" s="186"/>
      <c r="L79" s="186"/>
      <c r="M79" s="186"/>
      <c r="N79" s="186"/>
      <c r="O79" s="186"/>
      <c r="P79" s="186"/>
      <c r="Q79" s="187"/>
      <c r="R79" s="189"/>
      <c r="S79" s="97"/>
      <c r="T79" s="97"/>
      <c r="U79" s="97"/>
      <c r="V79" s="97"/>
      <c r="W79" s="97"/>
      <c r="X79" s="97"/>
      <c r="Y79" s="97"/>
      <c r="Z79" s="97"/>
      <c r="AA79" s="97"/>
      <c r="AB79" s="97"/>
    </row>
    <row r="80" ht="13.5" customHeight="1">
      <c r="A80" s="97"/>
      <c r="B80" s="97"/>
      <c r="C80" s="114">
        <v>6037.0</v>
      </c>
      <c r="D80" s="190" t="s">
        <v>67</v>
      </c>
      <c r="E80" s="60"/>
      <c r="F80" s="62">
        <v>7286.0</v>
      </c>
      <c r="G80" s="186"/>
      <c r="H80" s="184"/>
      <c r="I80" s="184"/>
      <c r="J80" s="184"/>
      <c r="K80" s="184"/>
      <c r="L80" s="184"/>
      <c r="M80" s="184"/>
      <c r="N80" s="184"/>
      <c r="O80" s="184"/>
      <c r="P80" s="184"/>
      <c r="Q80" s="185"/>
      <c r="R80" s="180"/>
      <c r="S80" s="97"/>
      <c r="T80" s="97"/>
      <c r="U80" s="97"/>
      <c r="V80" s="97"/>
      <c r="W80" s="97"/>
      <c r="X80" s="97"/>
      <c r="Y80" s="97"/>
      <c r="Z80" s="97"/>
      <c r="AA80" s="97"/>
      <c r="AB80" s="97"/>
    </row>
    <row r="81" ht="13.5" customHeight="1">
      <c r="A81" s="97"/>
      <c r="B81" s="97"/>
      <c r="C81" s="119"/>
      <c r="D81" s="190" t="s">
        <v>71</v>
      </c>
      <c r="E81" s="60">
        <f t="shared" ref="E81:E82" si="24">SUM(F81:Q81)</f>
        <v>4246.72</v>
      </c>
      <c r="F81" s="62">
        <v>4246.72</v>
      </c>
      <c r="G81" s="186"/>
      <c r="H81" s="184"/>
      <c r="I81" s="184"/>
      <c r="J81" s="184"/>
      <c r="K81" s="184"/>
      <c r="L81" s="184"/>
      <c r="M81" s="184"/>
      <c r="N81" s="184"/>
      <c r="O81" s="184"/>
      <c r="P81" s="184"/>
      <c r="Q81" s="185"/>
      <c r="R81" s="180"/>
      <c r="S81" s="97"/>
      <c r="T81" s="97"/>
      <c r="U81" s="97"/>
      <c r="V81" s="97"/>
      <c r="W81" s="97"/>
      <c r="X81" s="97"/>
      <c r="Y81" s="97"/>
      <c r="Z81" s="97"/>
      <c r="AA81" s="97"/>
      <c r="AB81" s="97"/>
    </row>
    <row r="82" ht="13.5" customHeight="1">
      <c r="A82" s="97"/>
      <c r="B82" s="97"/>
      <c r="C82" s="119"/>
      <c r="D82" s="190" t="s">
        <v>73</v>
      </c>
      <c r="E82" s="60">
        <f t="shared" si="24"/>
        <v>1843.76</v>
      </c>
      <c r="F82" s="62">
        <v>1843.76</v>
      </c>
      <c r="G82" s="184"/>
      <c r="H82" s="184"/>
      <c r="I82" s="184"/>
      <c r="J82" s="184"/>
      <c r="K82" s="184"/>
      <c r="L82" s="184"/>
      <c r="M82" s="184"/>
      <c r="N82" s="184"/>
      <c r="O82" s="184"/>
      <c r="P82" s="184"/>
      <c r="Q82" s="185"/>
      <c r="R82" s="180"/>
      <c r="S82" s="97"/>
      <c r="T82" s="97"/>
      <c r="U82" s="97"/>
      <c r="V82" s="97"/>
      <c r="W82" s="97"/>
      <c r="X82" s="97"/>
      <c r="Y82" s="97"/>
      <c r="Z82" s="97"/>
      <c r="AA82" s="97"/>
      <c r="AB82" s="97"/>
    </row>
    <row r="83" ht="13.5" customHeight="1">
      <c r="A83" s="97"/>
      <c r="B83" s="97"/>
      <c r="C83" s="122"/>
      <c r="D83" s="190" t="s">
        <v>74</v>
      </c>
      <c r="E83" s="123">
        <f>E82/(E49+E81)</f>
        <v>0.01534452646</v>
      </c>
      <c r="F83" s="124">
        <v>0.13</v>
      </c>
      <c r="G83" s="267"/>
      <c r="H83" s="186"/>
      <c r="I83" s="186"/>
      <c r="J83" s="184"/>
      <c r="K83" s="184"/>
      <c r="L83" s="184"/>
      <c r="M83" s="184"/>
      <c r="N83" s="184"/>
      <c r="O83" s="184"/>
      <c r="P83" s="184"/>
      <c r="Q83" s="185"/>
      <c r="R83" s="180"/>
      <c r="S83" s="97"/>
      <c r="T83" s="97"/>
      <c r="U83" s="97"/>
      <c r="V83" s="97"/>
      <c r="W83" s="97"/>
      <c r="X83" s="97"/>
      <c r="Y83" s="97"/>
      <c r="Z83" s="97"/>
      <c r="AA83" s="97"/>
      <c r="AB83" s="97"/>
    </row>
    <row r="84" ht="13.5" customHeight="1">
      <c r="A84" s="97"/>
      <c r="B84" s="97"/>
      <c r="C84" s="97"/>
      <c r="D84" s="97"/>
      <c r="E84" s="202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58"/>
      <c r="S84" s="97"/>
      <c r="T84" s="97"/>
      <c r="U84" s="97"/>
      <c r="V84" s="97"/>
      <c r="W84" s="97"/>
      <c r="X84" s="97"/>
      <c r="Y84" s="97"/>
      <c r="Z84" s="97"/>
      <c r="AA84" s="97"/>
      <c r="AB84" s="97"/>
    </row>
    <row r="85" ht="13.5" customHeight="1">
      <c r="A85" s="48" t="s">
        <v>29</v>
      </c>
      <c r="B85" s="128">
        <f>+SUM(D85:U85)</f>
        <v>11459.85982</v>
      </c>
      <c r="C85" s="97"/>
      <c r="D85" s="129" t="s">
        <v>134</v>
      </c>
      <c r="E85" s="193">
        <f t="shared" ref="E85:Q85" si="25">+SUM(E48-E54)</f>
        <v>9987.933181</v>
      </c>
      <c r="F85" s="130">
        <f t="shared" si="25"/>
        <v>18703.95279</v>
      </c>
      <c r="G85" s="130">
        <f t="shared" si="25"/>
        <v>-4071.201812</v>
      </c>
      <c r="H85" s="130">
        <f t="shared" si="25"/>
        <v>-7254.287812</v>
      </c>
      <c r="I85" s="130">
        <f t="shared" si="25"/>
        <v>-5742.620032</v>
      </c>
      <c r="J85" s="130">
        <f t="shared" si="25"/>
        <v>-402.0460317</v>
      </c>
      <c r="K85" s="130">
        <f t="shared" si="25"/>
        <v>826.3699683</v>
      </c>
      <c r="L85" s="130">
        <f t="shared" si="25"/>
        <v>-686.8870717</v>
      </c>
      <c r="M85" s="130">
        <f t="shared" si="25"/>
        <v>-612.8130717</v>
      </c>
      <c r="N85" s="130">
        <f t="shared" si="25"/>
        <v>1241.207403</v>
      </c>
      <c r="O85" s="130">
        <f t="shared" si="25"/>
        <v>-147.8531693</v>
      </c>
      <c r="P85" s="130">
        <f t="shared" si="25"/>
        <v>-418.4158966</v>
      </c>
      <c r="Q85" s="132">
        <f t="shared" si="25"/>
        <v>36.52137613</v>
      </c>
      <c r="R85" s="158"/>
      <c r="S85" s="97"/>
      <c r="T85" s="97"/>
      <c r="U85" s="97"/>
      <c r="V85" s="97"/>
      <c r="W85" s="97"/>
      <c r="X85" s="97"/>
      <c r="Y85" s="97"/>
      <c r="Z85" s="97"/>
      <c r="AA85" s="97"/>
      <c r="AB85" s="97"/>
    </row>
    <row r="86" ht="13.5" customHeight="1">
      <c r="A86" s="1"/>
      <c r="B86" s="1"/>
      <c r="C86" s="97"/>
      <c r="D86" s="97" t="s">
        <v>136</v>
      </c>
      <c r="E86" s="193" t="str">
        <f>#REF!</f>
        <v>#REF!</v>
      </c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7"/>
      <c r="R86" s="4"/>
      <c r="S86" s="97"/>
      <c r="T86" s="97"/>
      <c r="U86" s="97"/>
      <c r="V86" s="97"/>
      <c r="W86" s="97"/>
      <c r="X86" s="97"/>
      <c r="Y86" s="97"/>
      <c r="Z86" s="97"/>
      <c r="AA86" s="97"/>
      <c r="AB86" s="97"/>
    </row>
    <row r="87" ht="13.5" customHeight="1">
      <c r="A87" s="97"/>
      <c r="B87" s="97"/>
      <c r="C87" s="97"/>
      <c r="D87" s="48" t="s">
        <v>85</v>
      </c>
      <c r="E87" s="199">
        <v>4000.0</v>
      </c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</row>
    <row r="88" ht="13.5" customHeight="1">
      <c r="A88" s="97"/>
      <c r="B88" s="97"/>
      <c r="C88" s="97"/>
      <c r="D88" s="97"/>
      <c r="E88" s="202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</row>
    <row r="89" ht="13.5" customHeight="1">
      <c r="A89" s="97"/>
      <c r="B89" s="97"/>
      <c r="C89" s="97"/>
      <c r="D89" s="97"/>
      <c r="E89" s="202"/>
      <c r="F89" s="268">
        <v>0.29</v>
      </c>
      <c r="G89" s="268">
        <v>0.29</v>
      </c>
      <c r="H89" s="268">
        <v>0.29</v>
      </c>
      <c r="I89" s="268">
        <v>0.29</v>
      </c>
      <c r="J89" s="268">
        <v>0.29</v>
      </c>
      <c r="K89" s="268">
        <v>0.29</v>
      </c>
      <c r="L89" s="268">
        <v>0.29</v>
      </c>
      <c r="M89" s="268">
        <v>0.29</v>
      </c>
      <c r="N89" s="268">
        <v>0.29</v>
      </c>
      <c r="O89" s="268">
        <v>0.29</v>
      </c>
      <c r="P89" s="268">
        <v>0.29</v>
      </c>
      <c r="Q89" s="268">
        <v>0.29</v>
      </c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</row>
    <row r="90" ht="13.5" customHeight="1">
      <c r="A90" s="97"/>
      <c r="B90" s="97"/>
      <c r="C90" s="97"/>
      <c r="D90" s="97"/>
      <c r="E90" s="202"/>
      <c r="F90" s="270">
        <v>733.0</v>
      </c>
      <c r="G90" s="270">
        <f t="shared" ref="G90:H90" si="26">F90+30</f>
        <v>763</v>
      </c>
      <c r="H90" s="270">
        <f t="shared" si="26"/>
        <v>793</v>
      </c>
      <c r="I90" s="270">
        <f>H90-(103*0.3)+30</f>
        <v>792.1</v>
      </c>
      <c r="J90" s="270">
        <f>I90+30</f>
        <v>822.1</v>
      </c>
      <c r="K90" s="270">
        <f>J90+20</f>
        <v>842.1</v>
      </c>
      <c r="L90" s="270">
        <f>K90-(96*0.3)+30</f>
        <v>843.3</v>
      </c>
      <c r="M90" s="270">
        <f t="shared" ref="M90:N90" si="27">L90+30</f>
        <v>873.3</v>
      </c>
      <c r="N90" s="270">
        <f t="shared" si="27"/>
        <v>903.3</v>
      </c>
      <c r="O90" s="270">
        <f>N90-(123*0.3)+30</f>
        <v>896.4</v>
      </c>
      <c r="P90" s="270">
        <f t="shared" ref="P90:Q90" si="28">O90+30</f>
        <v>926.4</v>
      </c>
      <c r="Q90" s="270">
        <f t="shared" si="28"/>
        <v>956.4</v>
      </c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</row>
    <row r="91" ht="13.5" customHeight="1">
      <c r="A91" s="97"/>
      <c r="B91" s="97"/>
      <c r="C91" s="97"/>
      <c r="D91" s="97"/>
      <c r="E91" s="202"/>
      <c r="F91" s="275">
        <f t="shared" ref="F91:Q91" si="29">F90*F89</f>
        <v>212.57</v>
      </c>
      <c r="G91" s="275">
        <f t="shared" si="29"/>
        <v>221.27</v>
      </c>
      <c r="H91" s="275">
        <f t="shared" si="29"/>
        <v>229.97</v>
      </c>
      <c r="I91" s="275">
        <f t="shared" si="29"/>
        <v>229.709</v>
      </c>
      <c r="J91" s="275">
        <f t="shared" si="29"/>
        <v>238.409</v>
      </c>
      <c r="K91" s="275">
        <f t="shared" si="29"/>
        <v>244.209</v>
      </c>
      <c r="L91" s="275">
        <f t="shared" si="29"/>
        <v>244.557</v>
      </c>
      <c r="M91" s="275">
        <f t="shared" si="29"/>
        <v>253.257</v>
      </c>
      <c r="N91" s="275">
        <f t="shared" si="29"/>
        <v>261.957</v>
      </c>
      <c r="O91" s="275">
        <f t="shared" si="29"/>
        <v>259.956</v>
      </c>
      <c r="P91" s="275">
        <f t="shared" si="29"/>
        <v>268.656</v>
      </c>
      <c r="Q91" s="275">
        <f t="shared" si="29"/>
        <v>277.356</v>
      </c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</row>
    <row r="92" ht="13.5" customHeight="1">
      <c r="A92" s="97"/>
      <c r="B92" s="97"/>
      <c r="C92" s="97"/>
      <c r="D92" s="97"/>
      <c r="E92" s="202"/>
      <c r="F92" s="277">
        <f t="shared" ref="F92:Q92" si="30">F49/F91</f>
        <v>44.53991626</v>
      </c>
      <c r="G92" s="277">
        <f t="shared" si="30"/>
        <v>39</v>
      </c>
      <c r="H92" s="277">
        <f t="shared" si="30"/>
        <v>39</v>
      </c>
      <c r="I92" s="277">
        <f t="shared" si="30"/>
        <v>39</v>
      </c>
      <c r="J92" s="277">
        <f t="shared" si="30"/>
        <v>39</v>
      </c>
      <c r="K92" s="277">
        <f t="shared" si="30"/>
        <v>39</v>
      </c>
      <c r="L92" s="277">
        <f t="shared" si="30"/>
        <v>39</v>
      </c>
      <c r="M92" s="277">
        <f t="shared" si="30"/>
        <v>39</v>
      </c>
      <c r="N92" s="277">
        <f t="shared" si="30"/>
        <v>39</v>
      </c>
      <c r="O92" s="277">
        <f t="shared" si="30"/>
        <v>39</v>
      </c>
      <c r="P92" s="277">
        <f t="shared" si="30"/>
        <v>39</v>
      </c>
      <c r="Q92" s="277">
        <f t="shared" si="30"/>
        <v>39</v>
      </c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</row>
    <row r="93" ht="13.5" customHeight="1">
      <c r="A93" s="97"/>
      <c r="B93" s="97"/>
      <c r="C93" s="97"/>
      <c r="D93" s="97"/>
      <c r="E93" s="202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8"/>
      <c r="Q93" s="148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</row>
    <row r="94" ht="13.5" customHeight="1">
      <c r="A94" s="97"/>
      <c r="B94" s="97"/>
      <c r="C94" s="97"/>
      <c r="D94" s="97"/>
      <c r="E94" s="202"/>
      <c r="F94" s="278">
        <v>39.0</v>
      </c>
      <c r="G94" s="278">
        <v>39.0</v>
      </c>
      <c r="H94" s="278">
        <v>39.0</v>
      </c>
      <c r="I94" s="278">
        <v>39.0</v>
      </c>
      <c r="J94" s="278">
        <v>39.0</v>
      </c>
      <c r="K94" s="278">
        <v>39.0</v>
      </c>
      <c r="L94" s="278">
        <v>39.0</v>
      </c>
      <c r="M94" s="278">
        <v>39.0</v>
      </c>
      <c r="N94" s="278">
        <v>39.0</v>
      </c>
      <c r="O94" s="278">
        <v>39.0</v>
      </c>
      <c r="P94" s="278">
        <v>39.0</v>
      </c>
      <c r="Q94" s="278">
        <v>39.0</v>
      </c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</row>
    <row r="95" ht="13.5" customHeight="1">
      <c r="A95" s="97"/>
      <c r="B95" s="97"/>
      <c r="C95" s="97"/>
      <c r="D95" s="97"/>
      <c r="E95" s="202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</row>
    <row r="96" ht="13.5" customHeight="1">
      <c r="A96" s="97"/>
      <c r="B96" s="97"/>
      <c r="C96" s="97"/>
      <c r="D96" s="97"/>
      <c r="E96" s="202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</row>
    <row r="97" ht="13.5" customHeight="1">
      <c r="A97" s="97"/>
      <c r="B97" s="97"/>
      <c r="C97" s="97"/>
      <c r="D97" s="97"/>
      <c r="E97" s="202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</row>
    <row r="98" ht="13.5" customHeight="1">
      <c r="A98" s="97"/>
      <c r="B98" s="97"/>
      <c r="C98" s="97"/>
      <c r="D98" s="97"/>
      <c r="E98" s="202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</row>
    <row r="99" ht="13.5" customHeight="1">
      <c r="A99" s="97"/>
      <c r="B99" s="97"/>
      <c r="C99" s="97"/>
      <c r="D99" s="97"/>
      <c r="E99" s="202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</row>
    <row r="100" ht="13.5" customHeight="1">
      <c r="A100" s="97"/>
      <c r="B100" s="97"/>
      <c r="C100" s="97"/>
      <c r="D100" s="97"/>
      <c r="E100" s="202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</row>
    <row r="101" ht="13.5" customHeight="1">
      <c r="A101" s="97"/>
      <c r="B101" s="97"/>
      <c r="C101" s="97"/>
      <c r="D101" s="97"/>
      <c r="E101" s="202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</row>
    <row r="102" ht="13.5" customHeight="1">
      <c r="A102" s="97"/>
      <c r="B102" s="97"/>
      <c r="C102" s="97"/>
      <c r="D102" s="97"/>
      <c r="E102" s="202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</row>
    <row r="103" ht="13.5" customHeight="1">
      <c r="A103" s="97"/>
      <c r="B103" s="97"/>
      <c r="C103" s="97"/>
      <c r="D103" s="97"/>
      <c r="E103" s="202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</row>
    <row r="104" ht="13.5" customHeight="1">
      <c r="A104" s="97"/>
      <c r="B104" s="97"/>
      <c r="C104" s="97"/>
      <c r="D104" s="97"/>
      <c r="E104" s="202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</row>
    <row r="105" ht="13.5" customHeight="1">
      <c r="A105" s="97"/>
      <c r="B105" s="97"/>
      <c r="C105" s="97"/>
      <c r="D105" s="97"/>
      <c r="E105" s="202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</row>
    <row r="106" ht="13.5" customHeight="1">
      <c r="A106" s="97"/>
      <c r="B106" s="97"/>
      <c r="C106" s="97"/>
      <c r="D106" s="97"/>
      <c r="E106" s="202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</row>
    <row r="107" ht="13.5" customHeight="1">
      <c r="A107" s="97"/>
      <c r="B107" s="97"/>
      <c r="C107" s="97"/>
      <c r="D107" s="97"/>
      <c r="E107" s="202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</row>
    <row r="108" ht="13.5" customHeight="1">
      <c r="A108" s="97"/>
      <c r="B108" s="97"/>
      <c r="C108" s="97"/>
      <c r="D108" s="97"/>
      <c r="E108" s="202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</row>
    <row r="109" ht="13.5" customHeight="1">
      <c r="A109" s="97"/>
      <c r="B109" s="97"/>
      <c r="C109" s="97"/>
      <c r="D109" s="97"/>
      <c r="E109" s="202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</row>
    <row r="110" ht="13.5" customHeight="1">
      <c r="A110" s="97"/>
      <c r="B110" s="97"/>
      <c r="C110" s="97"/>
      <c r="D110" s="97"/>
      <c r="E110" s="202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</row>
    <row r="111" ht="13.5" customHeight="1">
      <c r="A111" s="97"/>
      <c r="B111" s="97"/>
      <c r="C111" s="97"/>
      <c r="D111" s="97"/>
      <c r="E111" s="202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</row>
    <row r="112" ht="13.5" customHeight="1">
      <c r="A112" s="97"/>
      <c r="B112" s="97"/>
      <c r="C112" s="97"/>
      <c r="D112" s="97"/>
      <c r="E112" s="202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</row>
    <row r="113" ht="13.5" customHeight="1">
      <c r="A113" s="97"/>
      <c r="B113" s="97"/>
      <c r="C113" s="97"/>
      <c r="D113" s="97"/>
      <c r="E113" s="202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</row>
    <row r="114" ht="13.5" customHeight="1">
      <c r="A114" s="97"/>
      <c r="B114" s="97"/>
      <c r="C114" s="97"/>
      <c r="D114" s="97"/>
      <c r="E114" s="202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</row>
    <row r="115" ht="13.5" customHeight="1">
      <c r="A115" s="97"/>
      <c r="B115" s="97"/>
      <c r="C115" s="97"/>
      <c r="D115" s="97"/>
      <c r="E115" s="202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</row>
    <row r="116" ht="13.5" customHeight="1">
      <c r="A116" s="97"/>
      <c r="B116" s="97"/>
      <c r="C116" s="97"/>
      <c r="D116" s="97"/>
      <c r="E116" s="202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</row>
    <row r="117" ht="13.5" customHeight="1">
      <c r="A117" s="97"/>
      <c r="B117" s="97"/>
      <c r="C117" s="97"/>
      <c r="D117" s="97"/>
      <c r="E117" s="202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</row>
    <row r="118" ht="13.5" customHeight="1">
      <c r="A118" s="97"/>
      <c r="B118" s="97"/>
      <c r="C118" s="97"/>
      <c r="D118" s="97"/>
      <c r="E118" s="202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</row>
    <row r="119" ht="13.5" customHeight="1">
      <c r="A119" s="97"/>
      <c r="B119" s="97"/>
      <c r="C119" s="97"/>
      <c r="D119" s="97"/>
      <c r="E119" s="202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</row>
    <row r="120" ht="13.5" customHeight="1">
      <c r="A120" s="97"/>
      <c r="B120" s="97"/>
      <c r="C120" s="97"/>
      <c r="D120" s="97"/>
      <c r="E120" s="202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</row>
    <row r="121" ht="13.5" customHeight="1">
      <c r="A121" s="97"/>
      <c r="B121" s="97"/>
      <c r="C121" s="97"/>
      <c r="D121" s="97"/>
      <c r="E121" s="202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</row>
    <row r="122" ht="13.5" customHeight="1">
      <c r="A122" s="97"/>
      <c r="B122" s="97"/>
      <c r="C122" s="97"/>
      <c r="D122" s="97"/>
      <c r="E122" s="202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</row>
    <row r="123" ht="13.5" customHeight="1">
      <c r="A123" s="97"/>
      <c r="B123" s="97"/>
      <c r="C123" s="97"/>
      <c r="D123" s="97"/>
      <c r="E123" s="202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</row>
    <row r="124" ht="13.5" customHeight="1">
      <c r="A124" s="97"/>
      <c r="B124" s="97"/>
      <c r="C124" s="97"/>
      <c r="D124" s="97"/>
      <c r="E124" s="202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</row>
    <row r="125" ht="13.5" customHeight="1">
      <c r="A125" s="97"/>
      <c r="B125" s="97"/>
      <c r="C125" s="97"/>
      <c r="D125" s="97"/>
      <c r="E125" s="202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</row>
    <row r="126" ht="13.5" customHeight="1">
      <c r="A126" s="97"/>
      <c r="B126" s="97"/>
      <c r="C126" s="97"/>
      <c r="D126" s="97"/>
      <c r="E126" s="202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</row>
    <row r="127" ht="13.5" customHeight="1">
      <c r="A127" s="97"/>
      <c r="B127" s="97"/>
      <c r="C127" s="97"/>
      <c r="D127" s="97"/>
      <c r="E127" s="202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</row>
    <row r="128" ht="13.5" customHeight="1">
      <c r="A128" s="97"/>
      <c r="B128" s="97"/>
      <c r="C128" s="97"/>
      <c r="D128" s="97"/>
      <c r="E128" s="202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</row>
    <row r="129" ht="13.5" customHeight="1">
      <c r="A129" s="97"/>
      <c r="B129" s="97"/>
      <c r="C129" s="97"/>
      <c r="D129" s="97"/>
      <c r="E129" s="202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</row>
    <row r="130" ht="13.5" customHeight="1">
      <c r="A130" s="97"/>
      <c r="B130" s="97"/>
      <c r="C130" s="97"/>
      <c r="D130" s="97"/>
      <c r="E130" s="202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</row>
    <row r="131" ht="13.5" customHeight="1">
      <c r="A131" s="97"/>
      <c r="B131" s="97"/>
      <c r="C131" s="97"/>
      <c r="D131" s="97"/>
      <c r="E131" s="202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</row>
    <row r="132" ht="13.5" customHeight="1">
      <c r="A132" s="97"/>
      <c r="B132" s="97"/>
      <c r="C132" s="97"/>
      <c r="D132" s="97"/>
      <c r="E132" s="202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</row>
    <row r="133" ht="13.5" customHeight="1">
      <c r="A133" s="97"/>
      <c r="B133" s="97"/>
      <c r="C133" s="97"/>
      <c r="D133" s="97"/>
      <c r="E133" s="202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</row>
    <row r="134" ht="13.5" customHeight="1">
      <c r="A134" s="97"/>
      <c r="B134" s="97"/>
      <c r="C134" s="97"/>
      <c r="D134" s="97"/>
      <c r="E134" s="202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</row>
    <row r="135" ht="13.5" customHeight="1">
      <c r="A135" s="97"/>
      <c r="B135" s="97"/>
      <c r="C135" s="97"/>
      <c r="D135" s="97"/>
      <c r="E135" s="202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</row>
    <row r="136" ht="13.5" customHeight="1">
      <c r="A136" s="97"/>
      <c r="B136" s="97"/>
      <c r="C136" s="97"/>
      <c r="D136" s="97"/>
      <c r="E136" s="202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</row>
    <row r="137" ht="13.5" customHeight="1">
      <c r="A137" s="97"/>
      <c r="B137" s="97"/>
      <c r="C137" s="97"/>
      <c r="D137" s="97"/>
      <c r="E137" s="202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</row>
    <row r="138" ht="13.5" customHeight="1">
      <c r="A138" s="97"/>
      <c r="B138" s="97"/>
      <c r="C138" s="97"/>
      <c r="D138" s="97"/>
      <c r="E138" s="202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</row>
    <row r="139" ht="13.5" customHeight="1">
      <c r="A139" s="97"/>
      <c r="B139" s="97"/>
      <c r="C139" s="97"/>
      <c r="D139" s="97"/>
      <c r="E139" s="202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</row>
    <row r="140" ht="13.5" customHeight="1">
      <c r="A140" s="97"/>
      <c r="B140" s="97"/>
      <c r="C140" s="97"/>
      <c r="D140" s="97"/>
      <c r="E140" s="202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</row>
    <row r="141" ht="13.5" customHeight="1">
      <c r="A141" s="97"/>
      <c r="B141" s="97"/>
      <c r="C141" s="97"/>
      <c r="D141" s="97"/>
      <c r="E141" s="202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</row>
    <row r="142" ht="13.5" customHeight="1">
      <c r="A142" s="97"/>
      <c r="B142" s="97"/>
      <c r="C142" s="97"/>
      <c r="D142" s="97"/>
      <c r="E142" s="202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</row>
    <row r="143" ht="13.5" customHeight="1">
      <c r="A143" s="97"/>
      <c r="B143" s="97"/>
      <c r="C143" s="97"/>
      <c r="D143" s="97"/>
      <c r="E143" s="202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</row>
    <row r="144" ht="13.5" customHeight="1">
      <c r="A144" s="97"/>
      <c r="B144" s="97"/>
      <c r="C144" s="97"/>
      <c r="D144" s="97"/>
      <c r="E144" s="202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</row>
    <row r="145" ht="13.5" customHeight="1">
      <c r="A145" s="97"/>
      <c r="B145" s="97"/>
      <c r="C145" s="97"/>
      <c r="D145" s="97"/>
      <c r="E145" s="202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</row>
    <row r="146" ht="13.5" customHeight="1">
      <c r="A146" s="97"/>
      <c r="B146" s="97"/>
      <c r="C146" s="97"/>
      <c r="D146" s="97"/>
      <c r="E146" s="202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</row>
    <row r="147" ht="13.5" customHeight="1">
      <c r="A147" s="97"/>
      <c r="B147" s="97"/>
      <c r="C147" s="97"/>
      <c r="D147" s="97"/>
      <c r="E147" s="202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</row>
    <row r="148" ht="13.5" customHeight="1">
      <c r="A148" s="97"/>
      <c r="B148" s="97"/>
      <c r="C148" s="97"/>
      <c r="D148" s="97"/>
      <c r="E148" s="202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</row>
    <row r="149" ht="13.5" customHeight="1">
      <c r="A149" s="97"/>
      <c r="B149" s="97"/>
      <c r="C149" s="97"/>
      <c r="D149" s="97"/>
      <c r="E149" s="202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</row>
    <row r="150" ht="13.5" customHeight="1">
      <c r="A150" s="97"/>
      <c r="B150" s="97"/>
      <c r="C150" s="97"/>
      <c r="D150" s="97"/>
      <c r="E150" s="202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</row>
    <row r="151" ht="13.5" customHeight="1">
      <c r="A151" s="97"/>
      <c r="B151" s="97"/>
      <c r="C151" s="97"/>
      <c r="D151" s="97"/>
      <c r="E151" s="202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</row>
    <row r="152" ht="13.5" customHeight="1">
      <c r="A152" s="97"/>
      <c r="B152" s="97"/>
      <c r="C152" s="97"/>
      <c r="D152" s="97"/>
      <c r="E152" s="202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</row>
    <row r="153" ht="13.5" customHeight="1">
      <c r="A153" s="97"/>
      <c r="B153" s="97"/>
      <c r="C153" s="97"/>
      <c r="D153" s="97"/>
      <c r="E153" s="202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</row>
    <row r="154" ht="13.5" customHeight="1">
      <c r="A154" s="97"/>
      <c r="B154" s="97"/>
      <c r="C154" s="97"/>
      <c r="D154" s="97"/>
      <c r="E154" s="202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</row>
    <row r="155" ht="13.5" customHeight="1">
      <c r="A155" s="97"/>
      <c r="B155" s="97"/>
      <c r="C155" s="97"/>
      <c r="D155" s="97"/>
      <c r="E155" s="202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</row>
    <row r="156" ht="13.5" customHeight="1">
      <c r="A156" s="97"/>
      <c r="B156" s="97"/>
      <c r="C156" s="97"/>
      <c r="D156" s="97"/>
      <c r="E156" s="202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</row>
    <row r="157" ht="13.5" customHeight="1">
      <c r="A157" s="97"/>
      <c r="B157" s="97"/>
      <c r="C157" s="97"/>
      <c r="D157" s="97"/>
      <c r="E157" s="202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</row>
    <row r="158" ht="13.5" customHeight="1">
      <c r="A158" s="97"/>
      <c r="B158" s="97"/>
      <c r="C158" s="97"/>
      <c r="D158" s="97"/>
      <c r="E158" s="202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</row>
    <row r="159" ht="13.5" customHeight="1">
      <c r="A159" s="97"/>
      <c r="B159" s="97"/>
      <c r="C159" s="97"/>
      <c r="D159" s="97"/>
      <c r="E159" s="202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</row>
    <row r="160" ht="13.5" customHeight="1">
      <c r="A160" s="97"/>
      <c r="B160" s="97"/>
      <c r="C160" s="97"/>
      <c r="D160" s="97"/>
      <c r="E160" s="202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</row>
    <row r="161" ht="13.5" customHeight="1">
      <c r="A161" s="97"/>
      <c r="B161" s="97"/>
      <c r="C161" s="97"/>
      <c r="D161" s="97"/>
      <c r="E161" s="202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</row>
    <row r="162" ht="13.5" customHeight="1">
      <c r="A162" s="97"/>
      <c r="B162" s="97"/>
      <c r="C162" s="97"/>
      <c r="D162" s="97"/>
      <c r="E162" s="202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</row>
    <row r="163" ht="13.5" customHeight="1">
      <c r="A163" s="97"/>
      <c r="B163" s="97"/>
      <c r="C163" s="97"/>
      <c r="D163" s="97"/>
      <c r="E163" s="202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</row>
    <row r="164" ht="13.5" customHeight="1">
      <c r="A164" s="97"/>
      <c r="B164" s="97"/>
      <c r="C164" s="97"/>
      <c r="D164" s="97"/>
      <c r="E164" s="202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</row>
    <row r="165" ht="13.5" customHeight="1">
      <c r="A165" s="97"/>
      <c r="B165" s="97"/>
      <c r="C165" s="97"/>
      <c r="D165" s="97"/>
      <c r="E165" s="202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</row>
    <row r="166" ht="13.5" customHeight="1">
      <c r="A166" s="97"/>
      <c r="B166" s="97"/>
      <c r="C166" s="97"/>
      <c r="D166" s="97"/>
      <c r="E166" s="202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</row>
    <row r="167" ht="13.5" customHeight="1">
      <c r="A167" s="97"/>
      <c r="B167" s="97"/>
      <c r="C167" s="97"/>
      <c r="D167" s="97"/>
      <c r="E167" s="202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</row>
    <row r="168" ht="13.5" customHeight="1">
      <c r="A168" s="97"/>
      <c r="B168" s="97"/>
      <c r="C168" s="97"/>
      <c r="D168" s="97"/>
      <c r="E168" s="202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</row>
    <row r="169" ht="13.5" customHeight="1">
      <c r="A169" s="97"/>
      <c r="B169" s="97"/>
      <c r="C169" s="97"/>
      <c r="D169" s="97"/>
      <c r="E169" s="202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</row>
    <row r="170" ht="13.5" customHeight="1">
      <c r="A170" s="97"/>
      <c r="B170" s="97"/>
      <c r="C170" s="97"/>
      <c r="D170" s="97"/>
      <c r="E170" s="202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</row>
    <row r="171" ht="13.5" customHeight="1">
      <c r="A171" s="97"/>
      <c r="B171" s="97"/>
      <c r="C171" s="97"/>
      <c r="D171" s="97"/>
      <c r="E171" s="202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</row>
    <row r="172" ht="13.5" customHeight="1">
      <c r="A172" s="97"/>
      <c r="B172" s="97"/>
      <c r="C172" s="97"/>
      <c r="D172" s="97"/>
      <c r="E172" s="202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</row>
    <row r="173" ht="13.5" customHeight="1">
      <c r="A173" s="97"/>
      <c r="B173" s="97"/>
      <c r="C173" s="97"/>
      <c r="D173" s="97"/>
      <c r="E173" s="202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</row>
    <row r="174" ht="13.5" customHeight="1">
      <c r="A174" s="97"/>
      <c r="B174" s="97"/>
      <c r="C174" s="97"/>
      <c r="D174" s="97"/>
      <c r="E174" s="202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</row>
    <row r="175" ht="13.5" customHeight="1">
      <c r="A175" s="97"/>
      <c r="B175" s="97"/>
      <c r="C175" s="97"/>
      <c r="D175" s="97"/>
      <c r="E175" s="202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</row>
    <row r="176" ht="13.5" customHeight="1">
      <c r="A176" s="97"/>
      <c r="B176" s="97"/>
      <c r="C176" s="97"/>
      <c r="D176" s="97"/>
      <c r="E176" s="202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</row>
    <row r="177" ht="13.5" customHeight="1">
      <c r="A177" s="97"/>
      <c r="B177" s="97"/>
      <c r="C177" s="97"/>
      <c r="D177" s="97"/>
      <c r="E177" s="202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</row>
    <row r="178" ht="13.5" customHeight="1">
      <c r="A178" s="97"/>
      <c r="B178" s="97"/>
      <c r="C178" s="97"/>
      <c r="D178" s="97"/>
      <c r="E178" s="202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</row>
  </sheetData>
  <mergeCells count="4">
    <mergeCell ref="D1:Q1"/>
    <mergeCell ref="C35:C38"/>
    <mergeCell ref="D46:Q46"/>
    <mergeCell ref="C80:C83"/>
  </mergeCell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1.22" defaultRowHeight="15.0"/>
  <cols>
    <col customWidth="1" min="1" max="1" width="13.44"/>
    <col customWidth="1" min="2" max="3" width="0.33"/>
    <col customWidth="1" min="4" max="4" width="34.22"/>
    <col customWidth="1" min="5" max="6" width="10.44"/>
    <col customWidth="1" min="7" max="7" width="11.22"/>
    <col customWidth="1" min="8" max="11" width="10.44"/>
    <col customWidth="1" min="12" max="12" width="11.89"/>
    <col customWidth="1" min="13" max="13" width="11.22"/>
    <col customWidth="1" min="14" max="15" width="11.67"/>
    <col customWidth="1" min="16" max="16" width="11.89"/>
    <col customWidth="1" min="17" max="38" width="13.44"/>
  </cols>
  <sheetData>
    <row r="1">
      <c r="A1" s="194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6"/>
      <c r="Q1" s="198" t="s">
        <v>137</v>
      </c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194"/>
      <c r="AD1" s="194"/>
      <c r="AE1" s="194"/>
      <c r="AF1" s="194"/>
      <c r="AG1" s="194"/>
      <c r="AH1" s="194"/>
      <c r="AI1" s="194"/>
      <c r="AJ1" s="194"/>
      <c r="AK1" s="194"/>
      <c r="AL1" s="194"/>
    </row>
    <row r="2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6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</row>
    <row r="3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6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194"/>
      <c r="AD3" s="194"/>
      <c r="AE3" s="194"/>
      <c r="AF3" s="194"/>
      <c r="AG3" s="194"/>
      <c r="AH3" s="194"/>
      <c r="AI3" s="194"/>
      <c r="AJ3" s="194"/>
      <c r="AK3" s="194"/>
      <c r="AL3" s="194"/>
    </row>
    <row r="4">
      <c r="A4" s="194"/>
      <c r="B4" s="194"/>
      <c r="C4" s="194"/>
      <c r="D4" s="203"/>
      <c r="E4" s="205">
        <v>42370.0</v>
      </c>
      <c r="F4" s="205">
        <v>42401.0</v>
      </c>
      <c r="G4" s="205">
        <v>42430.0</v>
      </c>
      <c r="H4" s="205">
        <v>42461.0</v>
      </c>
      <c r="I4" s="205">
        <v>42491.0</v>
      </c>
      <c r="J4" s="205">
        <v>42522.0</v>
      </c>
      <c r="K4" s="205">
        <v>42552.0</v>
      </c>
      <c r="L4" s="205">
        <v>42583.0</v>
      </c>
      <c r="M4" s="205">
        <v>42614.0</v>
      </c>
      <c r="N4" s="205">
        <v>42644.0</v>
      </c>
      <c r="O4" s="205">
        <v>42675.0</v>
      </c>
      <c r="P4" s="207">
        <v>42705.0</v>
      </c>
      <c r="Q4" s="205">
        <v>42736.0</v>
      </c>
      <c r="R4" s="205">
        <v>42767.0</v>
      </c>
      <c r="S4" s="205">
        <v>42795.0</v>
      </c>
      <c r="T4" s="205">
        <v>42826.0</v>
      </c>
      <c r="U4" s="205">
        <v>42856.0</v>
      </c>
      <c r="V4" s="205">
        <v>42887.0</v>
      </c>
      <c r="W4" s="205">
        <v>42917.0</v>
      </c>
      <c r="X4" s="205">
        <v>42948.0</v>
      </c>
      <c r="Y4" s="205">
        <v>42979.0</v>
      </c>
      <c r="Z4" s="205">
        <v>43009.0</v>
      </c>
      <c r="AA4" s="205">
        <v>43040.0</v>
      </c>
      <c r="AB4" s="205">
        <v>43070.0</v>
      </c>
      <c r="AC4" s="194"/>
      <c r="AD4" s="194"/>
      <c r="AE4" s="194"/>
      <c r="AF4" s="194"/>
      <c r="AG4" s="194"/>
      <c r="AH4" s="194"/>
      <c r="AI4" s="194"/>
      <c r="AJ4" s="194"/>
      <c r="AK4" s="194"/>
      <c r="AL4" s="194"/>
    </row>
    <row r="5">
      <c r="A5" s="194"/>
      <c r="B5" s="194"/>
      <c r="C5" s="194"/>
      <c r="D5" s="211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213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194"/>
      <c r="AD5" s="194"/>
      <c r="AE5" s="194"/>
      <c r="AF5" s="194"/>
      <c r="AG5" s="194"/>
      <c r="AH5" s="194"/>
      <c r="AI5" s="194"/>
      <c r="AJ5" s="194"/>
      <c r="AK5" s="194"/>
      <c r="AL5" s="194"/>
    </row>
    <row r="6">
      <c r="A6" s="194"/>
      <c r="B6" s="194"/>
      <c r="C6" s="203"/>
      <c r="D6" s="214" t="s">
        <v>139</v>
      </c>
      <c r="E6" s="216">
        <v>2200.0</v>
      </c>
      <c r="F6" s="218">
        <f t="shared" ref="F6:AB6" si="1">E62</f>
        <v>2942.19</v>
      </c>
      <c r="G6" s="218">
        <f t="shared" si="1"/>
        <v>3747.38</v>
      </c>
      <c r="H6" s="218">
        <f t="shared" si="1"/>
        <v>4982.64</v>
      </c>
      <c r="I6" s="218">
        <f t="shared" si="1"/>
        <v>5495.96</v>
      </c>
      <c r="J6" s="218">
        <f t="shared" si="1"/>
        <v>5959.01</v>
      </c>
      <c r="K6" s="218">
        <f t="shared" si="1"/>
        <v>5939.41</v>
      </c>
      <c r="L6" s="218">
        <f t="shared" si="1"/>
        <v>5477.35</v>
      </c>
      <c r="M6" s="218">
        <f t="shared" si="1"/>
        <v>4128.03</v>
      </c>
      <c r="N6" s="218">
        <f t="shared" si="1"/>
        <v>8177.7</v>
      </c>
      <c r="O6" s="218">
        <f t="shared" si="1"/>
        <v>10637.02</v>
      </c>
      <c r="P6" s="219">
        <f t="shared" si="1"/>
        <v>12741.38</v>
      </c>
      <c r="Q6" s="218">
        <f t="shared" si="1"/>
        <v>4113.22</v>
      </c>
      <c r="R6" s="218">
        <f t="shared" si="1"/>
        <v>22841.31279</v>
      </c>
      <c r="S6" s="218">
        <f t="shared" si="1"/>
        <v>18720.11098</v>
      </c>
      <c r="T6" s="218">
        <f t="shared" si="1"/>
        <v>11415.82316</v>
      </c>
      <c r="U6" s="218">
        <f t="shared" si="1"/>
        <v>5623.203133</v>
      </c>
      <c r="V6" s="218">
        <f t="shared" si="1"/>
        <v>5171.157101</v>
      </c>
      <c r="W6" s="218">
        <f t="shared" si="1"/>
        <v>5947.52707</v>
      </c>
      <c r="X6" s="218">
        <f t="shared" si="1"/>
        <v>5210.639998</v>
      </c>
      <c r="Y6" s="218">
        <f t="shared" si="1"/>
        <v>4547.826926</v>
      </c>
      <c r="Z6" s="218">
        <f t="shared" si="1"/>
        <v>5739.034329</v>
      </c>
      <c r="AA6" s="218">
        <f t="shared" si="1"/>
        <v>5541.18116</v>
      </c>
      <c r="AB6" s="221">
        <f t="shared" si="1"/>
        <v>5072.765264</v>
      </c>
      <c r="AC6" s="194"/>
      <c r="AD6" s="194"/>
      <c r="AE6" s="194"/>
      <c r="AF6" s="194"/>
      <c r="AG6" s="194"/>
      <c r="AH6" s="194"/>
      <c r="AI6" s="194"/>
      <c r="AJ6" s="194"/>
      <c r="AK6" s="194"/>
      <c r="AL6" s="194"/>
    </row>
    <row r="7">
      <c r="A7" s="194"/>
      <c r="B7" s="194"/>
      <c r="C7" s="203"/>
      <c r="D7" s="222" t="s">
        <v>141</v>
      </c>
      <c r="E7" s="223"/>
      <c r="Q7" s="223"/>
      <c r="AC7" s="194"/>
      <c r="AD7" s="194"/>
      <c r="AE7" s="194"/>
      <c r="AF7" s="194"/>
      <c r="AG7" s="194"/>
      <c r="AH7" s="194"/>
      <c r="AI7" s="194"/>
      <c r="AJ7" s="194"/>
      <c r="AK7" s="194"/>
      <c r="AL7" s="194"/>
    </row>
    <row r="8">
      <c r="A8" s="194"/>
      <c r="B8" s="194"/>
      <c r="C8" s="203"/>
      <c r="D8" s="224" t="s">
        <v>142</v>
      </c>
      <c r="AC8" s="194"/>
      <c r="AD8" s="194"/>
      <c r="AE8" s="194"/>
      <c r="AF8" s="194"/>
      <c r="AG8" s="194"/>
      <c r="AH8" s="194"/>
      <c r="AI8" s="194"/>
      <c r="AJ8" s="194"/>
      <c r="AK8" s="194"/>
      <c r="AL8" s="194"/>
    </row>
    <row r="9">
      <c r="A9" s="194"/>
      <c r="B9" s="194"/>
      <c r="C9" s="203"/>
      <c r="D9" s="225" t="s">
        <v>144</v>
      </c>
      <c r="E9" s="226">
        <f>'Prévisionnel 2017 SCN2'!F5</f>
        <v>2608.48</v>
      </c>
      <c r="F9" s="226">
        <f>'Prévisionnel 2017 SCN2'!G5</f>
        <v>2513.98</v>
      </c>
      <c r="G9" s="226">
        <f>'Prévisionnel 2017 SCN2'!H5</f>
        <v>3156.25</v>
      </c>
      <c r="H9" s="226">
        <f>'Prévisionnel 2017 SCN2'!I5</f>
        <v>3298.36</v>
      </c>
      <c r="I9" s="226">
        <f>'Prévisionnel 2017 SCN2'!J5</f>
        <v>3691.36</v>
      </c>
      <c r="J9" s="226">
        <f>'Prévisionnel 2017 SCN2'!K5</f>
        <v>4474.97</v>
      </c>
      <c r="K9" s="226">
        <f>'Prévisionnel 2017 SCN2'!L5</f>
        <v>2165.35</v>
      </c>
      <c r="L9" s="226">
        <f>'Prévisionnel 2017 SCN2'!M5</f>
        <v>2912.29</v>
      </c>
      <c r="M9" s="226">
        <f>'Prévisionnel 2017 SCN2'!N5</f>
        <v>5720.98</v>
      </c>
      <c r="N9" s="226">
        <f>'Prévisionnel 2017 SCN2'!O5</f>
        <v>5947.19</v>
      </c>
      <c r="O9" s="226">
        <f>'Prévisionnel 2017 SCN2'!P5</f>
        <v>8590.02</v>
      </c>
      <c r="P9" s="232">
        <f>'Prévisionnel 2017 SCN2'!Q5</f>
        <v>11401.95</v>
      </c>
      <c r="Q9" s="234">
        <f>'Prévisionnel 2017 SCN2'!F49</f>
        <v>9467.85</v>
      </c>
      <c r="R9" s="195">
        <f>'Prévisionnel 2017 SCN2'!G49</f>
        <v>8629.53</v>
      </c>
      <c r="S9" s="195">
        <f>'Prévisionnel 2017 SCN2'!H49</f>
        <v>8968.83</v>
      </c>
      <c r="T9" s="195">
        <f>'Prévisionnel 2017 SCN2'!I49</f>
        <v>8958.651</v>
      </c>
      <c r="U9" s="195">
        <f>'Prévisionnel 2017 SCN2'!J49</f>
        <v>9297.951</v>
      </c>
      <c r="V9" s="195">
        <f>'Prévisionnel 2017 SCN2'!K49</f>
        <v>9524.151</v>
      </c>
      <c r="W9" s="195">
        <f>'Prévisionnel 2017 SCN2'!L49</f>
        <v>9537.723</v>
      </c>
      <c r="X9" s="195">
        <f>'Prévisionnel 2017 SCN2'!M49</f>
        <v>9877.023</v>
      </c>
      <c r="Y9" s="195">
        <f>'Prévisionnel 2017 SCN2'!N49</f>
        <v>10216.323</v>
      </c>
      <c r="Z9" s="195">
        <f>'Prévisionnel 2017 SCN2'!O49</f>
        <v>10138.284</v>
      </c>
      <c r="AA9" s="195">
        <f>'Prévisionnel 2017 SCN2'!P49</f>
        <v>10477.584</v>
      </c>
      <c r="AB9" s="195">
        <f>'Prévisionnel 2017 SCN2'!Q49</f>
        <v>10816.884</v>
      </c>
      <c r="AC9" s="194"/>
      <c r="AD9" s="194"/>
      <c r="AE9" s="194"/>
      <c r="AF9" s="194"/>
      <c r="AG9" s="194"/>
      <c r="AH9" s="194"/>
      <c r="AI9" s="194"/>
      <c r="AJ9" s="194"/>
      <c r="AK9" s="194"/>
      <c r="AL9" s="194"/>
    </row>
    <row r="10">
      <c r="A10" s="194"/>
      <c r="B10" s="194"/>
      <c r="C10" s="203"/>
      <c r="D10" s="238" t="s">
        <v>147</v>
      </c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32"/>
      <c r="Q10" s="14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</row>
    <row r="11">
      <c r="A11" s="194"/>
      <c r="B11" s="194"/>
      <c r="C11" s="203"/>
      <c r="D11" s="241" t="s">
        <v>148</v>
      </c>
      <c r="E11" s="226">
        <f t="shared" ref="E11:AB11" si="2">SUM(E9:E10)</f>
        <v>2608.48</v>
      </c>
      <c r="F11" s="226">
        <f t="shared" si="2"/>
        <v>2513.98</v>
      </c>
      <c r="G11" s="226">
        <f t="shared" si="2"/>
        <v>3156.25</v>
      </c>
      <c r="H11" s="226">
        <f t="shared" si="2"/>
        <v>3298.36</v>
      </c>
      <c r="I11" s="226">
        <f t="shared" si="2"/>
        <v>3691.36</v>
      </c>
      <c r="J11" s="226">
        <f t="shared" si="2"/>
        <v>4474.97</v>
      </c>
      <c r="K11" s="226">
        <f t="shared" si="2"/>
        <v>2165.35</v>
      </c>
      <c r="L11" s="226">
        <f t="shared" si="2"/>
        <v>2912.29</v>
      </c>
      <c r="M11" s="226">
        <f t="shared" si="2"/>
        <v>5720.98</v>
      </c>
      <c r="N11" s="226">
        <f t="shared" si="2"/>
        <v>5947.19</v>
      </c>
      <c r="O11" s="226">
        <f t="shared" si="2"/>
        <v>8590.02</v>
      </c>
      <c r="P11" s="232">
        <f t="shared" si="2"/>
        <v>11401.95</v>
      </c>
      <c r="Q11" s="244">
        <f t="shared" si="2"/>
        <v>9467.85</v>
      </c>
      <c r="R11" s="245">
        <f t="shared" si="2"/>
        <v>8629.53</v>
      </c>
      <c r="S11" s="245">
        <f t="shared" si="2"/>
        <v>8968.83</v>
      </c>
      <c r="T11" s="245">
        <f t="shared" si="2"/>
        <v>8958.651</v>
      </c>
      <c r="U11" s="245">
        <f t="shared" si="2"/>
        <v>9297.951</v>
      </c>
      <c r="V11" s="245">
        <f t="shared" si="2"/>
        <v>9524.151</v>
      </c>
      <c r="W11" s="245">
        <f t="shared" si="2"/>
        <v>9537.723</v>
      </c>
      <c r="X11" s="245">
        <f t="shared" si="2"/>
        <v>9877.023</v>
      </c>
      <c r="Y11" s="245">
        <f t="shared" si="2"/>
        <v>10216.323</v>
      </c>
      <c r="Z11" s="245">
        <f t="shared" si="2"/>
        <v>10138.284</v>
      </c>
      <c r="AA11" s="245">
        <f t="shared" si="2"/>
        <v>10477.584</v>
      </c>
      <c r="AB11" s="245">
        <f t="shared" si="2"/>
        <v>10816.884</v>
      </c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</row>
    <row r="12">
      <c r="A12" s="194"/>
      <c r="B12" s="194"/>
      <c r="C12" s="203"/>
      <c r="D12" s="224" t="s">
        <v>152</v>
      </c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7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8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</row>
    <row r="13">
      <c r="A13" s="194"/>
      <c r="B13" s="194"/>
      <c r="C13" s="203"/>
      <c r="D13" s="225" t="s">
        <v>153</v>
      </c>
      <c r="E13" s="226"/>
      <c r="F13" s="226"/>
      <c r="G13" s="226"/>
      <c r="H13" s="226"/>
      <c r="I13" s="226"/>
      <c r="J13" s="226"/>
      <c r="K13" s="226"/>
      <c r="L13" s="226"/>
      <c r="M13" s="226">
        <f>'Prévisionnel 2017 SCN2'!N8</f>
        <v>2400</v>
      </c>
      <c r="N13" s="226">
        <f>'Prévisionnel 2017 SCN2'!O8</f>
        <v>2639.9</v>
      </c>
      <c r="O13" s="226">
        <f>'Prévisionnel 2017 SCN2'!P8</f>
        <v>1319.95</v>
      </c>
      <c r="P13" s="232">
        <f>'Prévisionnel 2017 SCN2'!Q8</f>
        <v>1319.95</v>
      </c>
      <c r="Q13" s="234">
        <f>'Prévisionnel 2017 SCN2'!F52</f>
        <v>1332.24</v>
      </c>
      <c r="R13" s="195">
        <f>'Prévisionnel 2017 SCN2'!G52</f>
        <v>1332.24</v>
      </c>
      <c r="S13" s="195">
        <f>'Prévisionnel 2017 SCN2'!H52</f>
        <v>2664.48</v>
      </c>
      <c r="T13" s="195">
        <f>'Prévisionnel 2017 SCN2'!I52</f>
        <v>2664.48</v>
      </c>
      <c r="U13" s="195">
        <f>'Prévisionnel 2017 SCN2'!J52</f>
        <v>2664.48</v>
      </c>
      <c r="V13" s="195">
        <f>'Prévisionnel 2017 SCN2'!K52</f>
        <v>2664.48</v>
      </c>
      <c r="W13" s="195">
        <f>'Prévisionnel 2017 SCN2'!L52</f>
        <v>2664.48</v>
      </c>
      <c r="X13" s="195">
        <f>'Prévisionnel 2017 SCN2'!M52</f>
        <v>2664.48</v>
      </c>
      <c r="Y13" s="195">
        <f>'Prévisionnel 2017 SCN2'!N52</f>
        <v>2664.48</v>
      </c>
      <c r="Z13" s="195">
        <f>'Prévisionnel 2017 SCN2'!O52</f>
        <v>2664.48</v>
      </c>
      <c r="AA13" s="195">
        <f>'Prévisionnel 2017 SCN2'!P52</f>
        <v>2664.48</v>
      </c>
      <c r="AB13" s="195">
        <f>'Prévisionnel 2017 SCN2'!Q52</f>
        <v>2664.48</v>
      </c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</row>
    <row r="14">
      <c r="A14" s="194"/>
      <c r="B14" s="194"/>
      <c r="C14" s="203"/>
      <c r="D14" s="249" t="s">
        <v>154</v>
      </c>
      <c r="E14" s="226">
        <f>'Prévisionnel 2017 SCN2'!F7</f>
        <v>0</v>
      </c>
      <c r="F14" s="226">
        <f>'Prévisionnel 2017 SCN2'!G7</f>
        <v>45</v>
      </c>
      <c r="G14" s="226">
        <f>'Prévisionnel 2017 SCN2'!H7</f>
        <v>40</v>
      </c>
      <c r="H14" s="226">
        <f>'Prévisionnel 2017 SCN2'!I7</f>
        <v>90</v>
      </c>
      <c r="I14" s="226">
        <f>'Prévisionnel 2017 SCN2'!J7</f>
        <v>50</v>
      </c>
      <c r="J14" s="226">
        <f>'Prévisionnel 2017 SCN2'!K7</f>
        <v>45</v>
      </c>
      <c r="K14" s="226">
        <f>'Prévisionnel 2017 SCN2'!L7</f>
        <v>0</v>
      </c>
      <c r="L14" s="226">
        <f>'Prévisionnel 2017 SCN2'!M7</f>
        <v>20</v>
      </c>
      <c r="M14" s="226">
        <f>'Prévisionnel 2017 SCN2'!N7</f>
        <v>105</v>
      </c>
      <c r="N14" s="226">
        <f>'Prévisionnel 2017 SCN2'!O7</f>
        <v>25</v>
      </c>
      <c r="O14" s="226">
        <f>'Prévisionnel 2017 SCN2'!P7</f>
        <v>185</v>
      </c>
      <c r="P14" s="232">
        <f>'Prévisionnel 2017 SCN2'!Q7</f>
        <v>30</v>
      </c>
      <c r="Q14" s="250">
        <f>'Prévisionnel 2017 SCN2'!F51</f>
        <v>23178</v>
      </c>
      <c r="R14" s="251">
        <f>'Prévisionnel 2017 SCN2'!G51</f>
        <v>65</v>
      </c>
      <c r="S14" s="251">
        <f>'Prévisionnel 2017 SCN2'!H51</f>
        <v>65</v>
      </c>
      <c r="T14" s="251">
        <f>'Prévisionnel 2017 SCN2'!I51</f>
        <v>65</v>
      </c>
      <c r="U14" s="251">
        <f>'Prévisionnel 2017 SCN2'!J51</f>
        <v>65</v>
      </c>
      <c r="V14" s="251">
        <f>'Prévisionnel 2017 SCN2'!K51</f>
        <v>65</v>
      </c>
      <c r="W14" s="251">
        <f>'Prévisionnel 2017 SCN2'!L51</f>
        <v>65</v>
      </c>
      <c r="X14" s="251">
        <f>'Prévisionnel 2017 SCN2'!M51</f>
        <v>65</v>
      </c>
      <c r="Y14" s="251">
        <f>'Prévisionnel 2017 SCN2'!N51</f>
        <v>65</v>
      </c>
      <c r="Z14" s="251">
        <f>'Prévisionnel 2017 SCN2'!O51</f>
        <v>65</v>
      </c>
      <c r="AA14" s="251">
        <f>'Prévisionnel 2017 SCN2'!P51</f>
        <v>65</v>
      </c>
      <c r="AB14" s="251">
        <f>'Prévisionnel 2017 SCN2'!Q51</f>
        <v>65</v>
      </c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</row>
    <row r="15">
      <c r="A15" s="194"/>
      <c r="B15" s="194"/>
      <c r="C15" s="203"/>
      <c r="D15" s="249" t="s">
        <v>24</v>
      </c>
      <c r="E15" s="226">
        <f>'Prévisionnel 2017 SCN2'!F6</f>
        <v>260</v>
      </c>
      <c r="F15" s="226">
        <f>'Prévisionnel 2017 SCN2'!G6</f>
        <v>940</v>
      </c>
      <c r="G15" s="226">
        <f>'Prévisionnel 2017 SCN2'!H6</f>
        <v>805</v>
      </c>
      <c r="H15" s="226">
        <f>'Prévisionnel 2017 SCN2'!I6</f>
        <v>735</v>
      </c>
      <c r="I15" s="226">
        <f>'Prévisionnel 2017 SCN2'!J6</f>
        <v>415</v>
      </c>
      <c r="J15" s="226">
        <f>'Prévisionnel 2017 SCN2'!K6</f>
        <v>435</v>
      </c>
      <c r="K15" s="226">
        <f>'Prévisionnel 2017 SCN2'!L6</f>
        <v>205</v>
      </c>
      <c r="L15" s="226">
        <f>'Prévisionnel 2017 SCN2'!M6</f>
        <v>235</v>
      </c>
      <c r="M15" s="226">
        <f>'Prévisionnel 2017 SCN2'!N6</f>
        <v>1115</v>
      </c>
      <c r="N15" s="226">
        <f>'Prévisionnel 2017 SCN2'!O6</f>
        <v>1580</v>
      </c>
      <c r="O15" s="226">
        <f>'Prévisionnel 2017 SCN2'!P6</f>
        <v>3210</v>
      </c>
      <c r="P15" s="232">
        <f>'Prévisionnel 2017 SCN2'!Q6</f>
        <v>1445</v>
      </c>
      <c r="Q15" s="234">
        <f>'Prévisionnel 2017 SCN2'!F50</f>
        <v>2510</v>
      </c>
      <c r="R15" s="195">
        <f>'Prévisionnel 2017 SCN2'!G50</f>
        <v>579.3</v>
      </c>
      <c r="S15" s="195">
        <f>'Prévisionnel 2017 SCN2'!H50</f>
        <v>579.3</v>
      </c>
      <c r="T15" s="195">
        <f>'Prévisionnel 2017 SCN2'!I50</f>
        <v>1982.8</v>
      </c>
      <c r="U15" s="195">
        <f>'Prévisionnel 2017 SCN2'!J50</f>
        <v>579.3</v>
      </c>
      <c r="V15" s="195">
        <f>'Prévisionnel 2017 SCN2'!K50</f>
        <v>400</v>
      </c>
      <c r="W15" s="195">
        <f>'Prévisionnel 2017 SCN2'!L50</f>
        <v>579.3</v>
      </c>
      <c r="X15" s="195">
        <f>'Prévisionnel 2017 SCN2'!M50</f>
        <v>579.3</v>
      </c>
      <c r="Y15" s="195">
        <f>'Prévisionnel 2017 SCN2'!N50</f>
        <v>579.3</v>
      </c>
      <c r="Z15" s="195">
        <f>'Prévisionnel 2017 SCN2'!O50</f>
        <v>1667.8</v>
      </c>
      <c r="AA15" s="195">
        <f>'Prévisionnel 2017 SCN2'!P50</f>
        <v>579.3</v>
      </c>
      <c r="AB15" s="195">
        <f>'Prévisionnel 2017 SCN2'!Q50</f>
        <v>579.3</v>
      </c>
      <c r="AC15" s="41"/>
      <c r="AD15" s="41"/>
      <c r="AE15" s="41"/>
      <c r="AF15" s="41"/>
      <c r="AG15" s="41"/>
      <c r="AH15" s="41"/>
      <c r="AI15" s="41"/>
      <c r="AJ15" s="41"/>
      <c r="AK15" s="41"/>
      <c r="AL15" s="194"/>
    </row>
    <row r="16">
      <c r="A16" s="194"/>
      <c r="B16" s="194"/>
      <c r="C16" s="203"/>
      <c r="D16" s="253" t="s">
        <v>156</v>
      </c>
      <c r="E16" s="254">
        <f t="shared" ref="E16:AB16" si="3">SUM(E13:E15)</f>
        <v>260</v>
      </c>
      <c r="F16" s="254">
        <f t="shared" si="3"/>
        <v>985</v>
      </c>
      <c r="G16" s="254">
        <f t="shared" si="3"/>
        <v>845</v>
      </c>
      <c r="H16" s="254">
        <f t="shared" si="3"/>
        <v>825</v>
      </c>
      <c r="I16" s="254">
        <f t="shared" si="3"/>
        <v>465</v>
      </c>
      <c r="J16" s="254">
        <f t="shared" si="3"/>
        <v>480</v>
      </c>
      <c r="K16" s="254">
        <f t="shared" si="3"/>
        <v>205</v>
      </c>
      <c r="L16" s="254">
        <f t="shared" si="3"/>
        <v>255</v>
      </c>
      <c r="M16" s="254">
        <f t="shared" si="3"/>
        <v>3620</v>
      </c>
      <c r="N16" s="254">
        <f t="shared" si="3"/>
        <v>4244.9</v>
      </c>
      <c r="O16" s="254">
        <f t="shared" si="3"/>
        <v>4714.95</v>
      </c>
      <c r="P16" s="255">
        <f t="shared" si="3"/>
        <v>2794.95</v>
      </c>
      <c r="Q16" s="234">
        <f t="shared" si="3"/>
        <v>27020.24</v>
      </c>
      <c r="R16" s="195">
        <f t="shared" si="3"/>
        <v>1976.54</v>
      </c>
      <c r="S16" s="195">
        <f t="shared" si="3"/>
        <v>3308.78</v>
      </c>
      <c r="T16" s="195">
        <f t="shared" si="3"/>
        <v>4712.28</v>
      </c>
      <c r="U16" s="195">
        <f t="shared" si="3"/>
        <v>3308.78</v>
      </c>
      <c r="V16" s="195">
        <f t="shared" si="3"/>
        <v>3129.48</v>
      </c>
      <c r="W16" s="195">
        <f t="shared" si="3"/>
        <v>3308.78</v>
      </c>
      <c r="X16" s="195">
        <f t="shared" si="3"/>
        <v>3308.78</v>
      </c>
      <c r="Y16" s="195">
        <f t="shared" si="3"/>
        <v>3308.78</v>
      </c>
      <c r="Z16" s="195">
        <f t="shared" si="3"/>
        <v>4397.28</v>
      </c>
      <c r="AA16" s="195">
        <f t="shared" si="3"/>
        <v>3308.78</v>
      </c>
      <c r="AB16" s="195">
        <f t="shared" si="3"/>
        <v>3308.78</v>
      </c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</row>
    <row r="17">
      <c r="A17" s="194"/>
      <c r="B17" s="194"/>
      <c r="C17" s="203"/>
      <c r="D17" s="256" t="s">
        <v>157</v>
      </c>
      <c r="E17" s="257">
        <f t="shared" ref="E17:AB17" si="4">E11+E16</f>
        <v>2868.48</v>
      </c>
      <c r="F17" s="257">
        <f t="shared" si="4"/>
        <v>3498.98</v>
      </c>
      <c r="G17" s="257">
        <f t="shared" si="4"/>
        <v>4001.25</v>
      </c>
      <c r="H17" s="257">
        <f t="shared" si="4"/>
        <v>4123.36</v>
      </c>
      <c r="I17" s="257">
        <f t="shared" si="4"/>
        <v>4156.36</v>
      </c>
      <c r="J17" s="257">
        <f t="shared" si="4"/>
        <v>4954.97</v>
      </c>
      <c r="K17" s="257">
        <f t="shared" si="4"/>
        <v>2370.35</v>
      </c>
      <c r="L17" s="257">
        <f t="shared" si="4"/>
        <v>3167.29</v>
      </c>
      <c r="M17" s="257">
        <f t="shared" si="4"/>
        <v>9340.98</v>
      </c>
      <c r="N17" s="257">
        <f t="shared" si="4"/>
        <v>10192.09</v>
      </c>
      <c r="O17" s="257">
        <f t="shared" si="4"/>
        <v>13304.97</v>
      </c>
      <c r="P17" s="258">
        <f t="shared" si="4"/>
        <v>14196.9</v>
      </c>
      <c r="Q17" s="257">
        <f t="shared" si="4"/>
        <v>36488.09</v>
      </c>
      <c r="R17" s="257">
        <f t="shared" si="4"/>
        <v>10606.07</v>
      </c>
      <c r="S17" s="257">
        <f t="shared" si="4"/>
        <v>12277.61</v>
      </c>
      <c r="T17" s="257">
        <f t="shared" si="4"/>
        <v>13670.931</v>
      </c>
      <c r="U17" s="257">
        <f t="shared" si="4"/>
        <v>12606.731</v>
      </c>
      <c r="V17" s="257">
        <f t="shared" si="4"/>
        <v>12653.631</v>
      </c>
      <c r="W17" s="257">
        <f t="shared" si="4"/>
        <v>12846.503</v>
      </c>
      <c r="X17" s="257">
        <f t="shared" si="4"/>
        <v>13185.803</v>
      </c>
      <c r="Y17" s="257">
        <f t="shared" si="4"/>
        <v>13525.103</v>
      </c>
      <c r="Z17" s="257">
        <f t="shared" si="4"/>
        <v>14535.564</v>
      </c>
      <c r="AA17" s="257">
        <f t="shared" si="4"/>
        <v>13786.364</v>
      </c>
      <c r="AB17" s="259">
        <f t="shared" si="4"/>
        <v>14125.664</v>
      </c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</row>
    <row r="18">
      <c r="A18" s="194"/>
      <c r="B18" s="194"/>
      <c r="C18" s="203"/>
      <c r="D18" s="260"/>
      <c r="E18" s="1"/>
      <c r="Q18" s="1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</row>
    <row r="19">
      <c r="A19" s="194"/>
      <c r="B19" s="194"/>
      <c r="C19" s="203"/>
      <c r="D19" s="214" t="s">
        <v>158</v>
      </c>
      <c r="E19" s="1"/>
      <c r="Q19" s="1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</row>
    <row r="20">
      <c r="A20" s="194"/>
      <c r="B20" s="194"/>
      <c r="C20" s="203"/>
      <c r="D20" s="224" t="s">
        <v>142</v>
      </c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</row>
    <row r="21">
      <c r="A21" s="194"/>
      <c r="B21" s="194"/>
      <c r="C21" s="203"/>
      <c r="D21" s="225" t="s">
        <v>159</v>
      </c>
      <c r="E21" s="195">
        <f>'Prévisionnel 2017 SCN2'!F19</f>
        <v>2052.17</v>
      </c>
      <c r="F21" s="195">
        <f>'Prévisionnel 2017 SCN2'!G19</f>
        <v>2632.85</v>
      </c>
      <c r="G21" s="195">
        <f>'Prévisionnel 2017 SCN2'!H19</f>
        <v>2718.69</v>
      </c>
      <c r="H21" s="195">
        <f>'Prévisionnel 2017 SCN2'!I19</f>
        <v>3501.68</v>
      </c>
      <c r="I21" s="195">
        <f>'Prévisionnel 2017 SCN2'!J19</f>
        <v>3254.84</v>
      </c>
      <c r="J21" s="195">
        <f>'Prévisionnel 2017 SCN2'!K19</f>
        <v>3496.88</v>
      </c>
      <c r="K21" s="195">
        <f>'Prévisionnel 2017 SCN2'!L19</f>
        <v>1901.82</v>
      </c>
      <c r="L21" s="195">
        <f>'Prévisionnel 2017 SCN2'!M19</f>
        <v>2222.31</v>
      </c>
      <c r="M21" s="195">
        <f>'Prévisionnel 2017 SCN2'!N19</f>
        <v>4826.15</v>
      </c>
      <c r="N21" s="195">
        <f>'Prévisionnel 2017 SCN2'!O19</f>
        <v>5957.03</v>
      </c>
      <c r="O21" s="195">
        <f>'Prévisionnel 2017 SCN2'!P19</f>
        <v>7142.99</v>
      </c>
      <c r="P21" s="261">
        <f>'Prévisionnel 2017 SCN2'!Q19</f>
        <v>10401.23</v>
      </c>
      <c r="Q21" s="262">
        <f>'Prévisionnel 2017 SCN2'!F64</f>
        <v>11870.81</v>
      </c>
      <c r="R21" s="263">
        <f>'Prévisionnel 2017 SCN2'!G64</f>
        <v>7076.2146</v>
      </c>
      <c r="S21" s="263">
        <f>'Prévisionnel 2017 SCN2'!H64</f>
        <v>7354.4406</v>
      </c>
      <c r="T21" s="263">
        <f>'Prévisionnel 2017 SCN2'!I64</f>
        <v>7346.09382</v>
      </c>
      <c r="U21" s="263">
        <f>'Prévisionnel 2017 SCN2'!J64</f>
        <v>7624.31982</v>
      </c>
      <c r="V21" s="263">
        <f>'Prévisionnel 2017 SCN2'!K64</f>
        <v>7809.80382</v>
      </c>
      <c r="W21" s="263">
        <f>'Prévisionnel 2017 SCN2'!L64</f>
        <v>7820.93286</v>
      </c>
      <c r="X21" s="263">
        <f>'Prévisionnel 2017 SCN2'!M64</f>
        <v>8099.15886</v>
      </c>
      <c r="Y21" s="263">
        <f>'Prévisionnel 2017 SCN2'!N64</f>
        <v>8377.38486</v>
      </c>
      <c r="Z21" s="263">
        <f>'Prévisionnel 2017 SCN2'!O64</f>
        <v>8313.39288</v>
      </c>
      <c r="AA21" s="263">
        <f>'Prévisionnel 2017 SCN2'!P64</f>
        <v>8591.61888</v>
      </c>
      <c r="AB21" s="263">
        <f>'Prévisionnel 2017 SCN2'!Q64</f>
        <v>8869.84488</v>
      </c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</row>
    <row r="22">
      <c r="A22" s="194"/>
      <c r="B22" s="194"/>
      <c r="C22" s="203"/>
      <c r="D22" s="225" t="s">
        <v>160</v>
      </c>
      <c r="E22" s="195"/>
      <c r="F22" s="195"/>
      <c r="G22" s="195"/>
      <c r="H22" s="195"/>
      <c r="I22" s="195"/>
      <c r="J22" s="195"/>
      <c r="K22" s="195"/>
      <c r="L22" s="195"/>
      <c r="M22" s="195"/>
      <c r="N22" s="195">
        <f>'Prévisionnel 2017 SCN2'!O15</f>
        <v>109.4</v>
      </c>
      <c r="O22" s="195">
        <f>'Prévisionnel 2017 SCN2'!P15</f>
        <v>121.8</v>
      </c>
      <c r="P22" s="261"/>
      <c r="Q22" s="234">
        <f>'Prévisionnel 2017 SCN2'!F60</f>
        <v>1555.32</v>
      </c>
      <c r="R22" s="195">
        <f>'Prévisionnel 2017 SCN2'!G60</f>
        <v>1350</v>
      </c>
      <c r="S22" s="195">
        <f>'Prévisionnel 2017 SCN2'!H60</f>
        <v>50</v>
      </c>
      <c r="T22" s="195">
        <f>'Prévisionnel 2017 SCN2'!I60</f>
        <v>50</v>
      </c>
      <c r="U22" s="195">
        <f>'Prévisionnel 2017 SCN2'!J60</f>
        <v>50</v>
      </c>
      <c r="V22" s="195">
        <f>'Prévisionnel 2017 SCN2'!K60</f>
        <v>50</v>
      </c>
      <c r="W22" s="195">
        <f>'Prévisionnel 2017 SCN2'!L60</f>
        <v>50</v>
      </c>
      <c r="X22" s="195">
        <f>'Prévisionnel 2017 SCN2'!M60</f>
        <v>50</v>
      </c>
      <c r="Y22" s="195">
        <f>'Prévisionnel 2017 SCN2'!N60</f>
        <v>50</v>
      </c>
      <c r="Z22" s="195">
        <f>'Prévisionnel 2017 SCN2'!O60</f>
        <v>50</v>
      </c>
      <c r="AA22" s="195">
        <f>'Prévisionnel 2017 SCN2'!P60</f>
        <v>50</v>
      </c>
      <c r="AB22" s="195">
        <f>'Prévisionnel 2017 SCN2'!Q60</f>
        <v>50</v>
      </c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</row>
    <row r="23">
      <c r="A23" s="194"/>
      <c r="B23" s="194"/>
      <c r="C23" s="203"/>
      <c r="D23" s="225" t="s">
        <v>161</v>
      </c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5"/>
      <c r="Q23" s="234">
        <f>54.91</f>
        <v>54.91</v>
      </c>
      <c r="R23" s="195"/>
      <c r="S23" s="195"/>
      <c r="T23" s="195">
        <v>130.0</v>
      </c>
      <c r="U23" s="195"/>
      <c r="V23" s="195"/>
      <c r="W23" s="195"/>
      <c r="X23" s="195"/>
      <c r="Y23" s="195"/>
      <c r="Z23" s="195">
        <v>130.0</v>
      </c>
      <c r="AA23" s="195"/>
      <c r="AB23" s="195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</row>
    <row r="24">
      <c r="A24" s="194"/>
      <c r="B24" s="194"/>
      <c r="C24" s="203"/>
      <c r="D24" s="225" t="s">
        <v>162</v>
      </c>
      <c r="E24" s="195"/>
      <c r="F24" s="195"/>
      <c r="G24" s="195"/>
      <c r="H24" s="195"/>
      <c r="I24" s="195"/>
      <c r="J24" s="195"/>
      <c r="K24" s="195"/>
      <c r="L24" s="195">
        <f>'Prévisionnel 2017 SCN2'!M16</f>
        <v>94.06</v>
      </c>
      <c r="M24" s="195"/>
      <c r="N24" s="195">
        <f>'Prévisionnel 2017 SCN2'!O16</f>
        <v>272.02</v>
      </c>
      <c r="O24" s="195"/>
      <c r="P24" s="261">
        <f>'Prévisionnel 2017 SCN2'!Q16</f>
        <v>130.11</v>
      </c>
      <c r="Q24" s="234">
        <f>'Prévisionnel 2017 SCN2'!F61</f>
        <v>0</v>
      </c>
      <c r="R24" s="195">
        <f>'Prévisionnel 2017 SCN2'!G61</f>
        <v>333</v>
      </c>
      <c r="S24" s="195" t="str">
        <f>'Prévisionnel 2017 SCN2'!H61</f>
        <v/>
      </c>
      <c r="T24" s="195">
        <f>'Prévisionnel 2017 SCN2'!I61</f>
        <v>333</v>
      </c>
      <c r="U24" s="195" t="str">
        <f>'Prévisionnel 2017 SCN2'!J61</f>
        <v/>
      </c>
      <c r="V24" s="195">
        <f>'Prévisionnel 2017 SCN2'!K61</f>
        <v>333</v>
      </c>
      <c r="W24" s="195" t="str">
        <f>'Prévisionnel 2017 SCN2'!L61</f>
        <v/>
      </c>
      <c r="X24" s="195">
        <f>'Prévisionnel 2017 SCN2'!M61</f>
        <v>333</v>
      </c>
      <c r="Y24" s="195" t="str">
        <f>'Prévisionnel 2017 SCN2'!N61</f>
        <v/>
      </c>
      <c r="Z24" s="195">
        <f>'Prévisionnel 2017 SCN2'!O61</f>
        <v>333</v>
      </c>
      <c r="AA24" s="195" t="str">
        <f>'Prévisionnel 2017 SCN2'!P61</f>
        <v/>
      </c>
      <c r="AB24" s="195">
        <f>'Prévisionnel 2017 SCN2'!Q61</f>
        <v>333</v>
      </c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</row>
    <row r="25">
      <c r="A25" s="194"/>
      <c r="B25" s="194"/>
      <c r="C25" s="203"/>
      <c r="D25" s="225" t="s">
        <v>163</v>
      </c>
      <c r="E25" s="195"/>
      <c r="F25" s="195"/>
      <c r="G25" s="195"/>
      <c r="H25" s="195"/>
      <c r="I25" s="195"/>
      <c r="J25" s="195">
        <f>'Prévisionnel 2017 SCN2'!K21</f>
        <v>57.75</v>
      </c>
      <c r="K25" s="195">
        <f>'Prévisionnel 2017 SCN2'!L21</f>
        <v>572.06</v>
      </c>
      <c r="L25" s="195">
        <f>'Prévisionnel 2017 SCN2'!M21</f>
        <v>58.2</v>
      </c>
      <c r="M25" s="195">
        <f>'Prévisionnel 2017 SCN2'!N21</f>
        <v>144.64</v>
      </c>
      <c r="N25" s="195">
        <f>'Prévisionnel 2017 SCN2'!O21</f>
        <v>94.13</v>
      </c>
      <c r="O25" s="195">
        <f>'Prévisionnel 2017 SCN2'!P21</f>
        <v>26.07</v>
      </c>
      <c r="P25" s="261">
        <f>'Prévisionnel 2017 SCN2'!Q21</f>
        <v>19.26</v>
      </c>
      <c r="Q25" s="234">
        <f>'Prévisionnel 2017 SCN2'!F66</f>
        <v>35.27</v>
      </c>
      <c r="R25" s="195">
        <f>'Prévisionnel 2017 SCN2'!G66</f>
        <v>850</v>
      </c>
      <c r="S25" s="195">
        <f>'Prévisionnel 2017 SCN2'!H66</f>
        <v>80</v>
      </c>
      <c r="T25" s="195">
        <f>'Prévisionnel 2017 SCN2'!I66</f>
        <v>80</v>
      </c>
      <c r="U25" s="195">
        <f>'Prévisionnel 2017 SCN2'!J66</f>
        <v>80</v>
      </c>
      <c r="V25" s="195">
        <f>'Prévisionnel 2017 SCN2'!K66</f>
        <v>80</v>
      </c>
      <c r="W25" s="195">
        <f>'Prévisionnel 2017 SCN2'!L66</f>
        <v>80</v>
      </c>
      <c r="X25" s="195">
        <f>'Prévisionnel 2017 SCN2'!M66</f>
        <v>80</v>
      </c>
      <c r="Y25" s="195">
        <f>'Prévisionnel 2017 SCN2'!N66</f>
        <v>80</v>
      </c>
      <c r="Z25" s="195">
        <f>'Prévisionnel 2017 SCN2'!O66</f>
        <v>80</v>
      </c>
      <c r="AA25" s="195">
        <f>'Prévisionnel 2017 SCN2'!P66</f>
        <v>80</v>
      </c>
      <c r="AB25" s="195">
        <f>'Prévisionnel 2017 SCN2'!Q66</f>
        <v>80</v>
      </c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</row>
    <row r="26">
      <c r="A26" s="194"/>
      <c r="B26" s="194"/>
      <c r="C26" s="203"/>
      <c r="D26" s="225" t="s">
        <v>164</v>
      </c>
      <c r="E26" s="195">
        <f>'Prévisionnel 2017 SCN2'!F18</f>
        <v>22.95</v>
      </c>
      <c r="F26" s="195"/>
      <c r="G26" s="195"/>
      <c r="H26" s="195"/>
      <c r="I26" s="195">
        <f>'Prévisionnel 2017 SCN2'!J18</f>
        <v>95.69</v>
      </c>
      <c r="J26" s="195">
        <f>'Prévisionnel 2017 SCN2'!K18</f>
        <v>19.29</v>
      </c>
      <c r="K26" s="195"/>
      <c r="L26" s="195">
        <f>'Prévisionnel 2017 SCN2'!M18</f>
        <v>45</v>
      </c>
      <c r="M26" s="195">
        <f>'Prévisionnel 2017 SCN2'!N18</f>
        <v>40</v>
      </c>
      <c r="N26" s="195"/>
      <c r="O26" s="195">
        <f>'Prévisionnel 2017 SCN2'!P18</f>
        <v>35.06</v>
      </c>
      <c r="P26" s="261">
        <f>'Prévisionnel 2017 SCN2'!Q18</f>
        <v>0</v>
      </c>
      <c r="Q26" s="234">
        <f>'Prévisionnel 2017 SCN2'!F63</f>
        <v>190.26</v>
      </c>
      <c r="R26" s="195">
        <f>'Prévisionnel 2017 SCN2'!G63</f>
        <v>400</v>
      </c>
      <c r="S26" s="195">
        <f>'Prévisionnel 2017 SCN2'!H63</f>
        <v>50</v>
      </c>
      <c r="T26" s="195">
        <f>'Prévisionnel 2017 SCN2'!I63</f>
        <v>50</v>
      </c>
      <c r="U26" s="195">
        <f>'Prévisionnel 2017 SCN2'!J63</f>
        <v>50</v>
      </c>
      <c r="V26" s="195">
        <f>'Prévisionnel 2017 SCN2'!K63</f>
        <v>50</v>
      </c>
      <c r="W26" s="195">
        <f>'Prévisionnel 2017 SCN2'!L63</f>
        <v>50</v>
      </c>
      <c r="X26" s="195">
        <f>'Prévisionnel 2017 SCN2'!M63</f>
        <v>50</v>
      </c>
      <c r="Y26" s="195">
        <f>'Prévisionnel 2017 SCN2'!N63</f>
        <v>50</v>
      </c>
      <c r="Z26" s="195">
        <f>'Prévisionnel 2017 SCN2'!O63</f>
        <v>50</v>
      </c>
      <c r="AA26" s="195">
        <f>'Prévisionnel 2017 SCN2'!P63</f>
        <v>50</v>
      </c>
      <c r="AB26" s="195">
        <f>'Prévisionnel 2017 SCN2'!Q63</f>
        <v>50</v>
      </c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</row>
    <row r="27">
      <c r="A27" s="194"/>
      <c r="B27" s="194"/>
      <c r="C27" s="203"/>
      <c r="D27" s="225" t="s">
        <v>166</v>
      </c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5"/>
      <c r="Q27" s="266"/>
      <c r="R27" s="264"/>
      <c r="S27" s="264"/>
      <c r="T27" s="264"/>
      <c r="U27" s="264"/>
      <c r="V27" s="264"/>
      <c r="W27" s="264"/>
      <c r="X27" s="264"/>
      <c r="Y27" s="264"/>
      <c r="Z27" s="264"/>
      <c r="AA27" s="264"/>
      <c r="AB27" s="26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</row>
    <row r="28">
      <c r="A28" s="194"/>
      <c r="B28" s="194"/>
      <c r="C28" s="203"/>
      <c r="D28" s="225" t="s">
        <v>167</v>
      </c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5"/>
      <c r="Q28" s="266"/>
      <c r="R28" s="264"/>
      <c r="S28" s="264"/>
      <c r="T28" s="264"/>
      <c r="U28" s="264"/>
      <c r="V28" s="264"/>
      <c r="W28" s="264"/>
      <c r="X28" s="264"/>
      <c r="Y28" s="264"/>
      <c r="Z28" s="264"/>
      <c r="AA28" s="264"/>
      <c r="AB28" s="26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</row>
    <row r="29">
      <c r="A29" s="194"/>
      <c r="B29" s="194"/>
      <c r="C29" s="203"/>
      <c r="D29" s="225" t="s">
        <v>168</v>
      </c>
      <c r="E29" s="195"/>
      <c r="F29" s="195"/>
      <c r="G29" s="195"/>
      <c r="H29" s="195"/>
      <c r="I29" s="195">
        <f>'Prévisionnel 2017 SCN2'!J20</f>
        <v>250</v>
      </c>
      <c r="J29" s="195">
        <f>'Prévisionnel 2017 SCN2'!K20</f>
        <v>665</v>
      </c>
      <c r="K29" s="195"/>
      <c r="L29" s="195">
        <f>'Prévisionnel 2017 SCN2'!M20</f>
        <v>1950</v>
      </c>
      <c r="M29" s="195"/>
      <c r="N29" s="195"/>
      <c r="O29" s="195">
        <f>'Prévisionnel 2017 SCN2'!P20</f>
        <v>1950</v>
      </c>
      <c r="P29" s="261"/>
      <c r="Q29" s="234">
        <f>'Prévisionnel 2017 SCN2'!F65</f>
        <v>0</v>
      </c>
      <c r="R29" s="195">
        <f>'Prévisionnel 2017 SCN2'!G65</f>
        <v>1950</v>
      </c>
      <c r="S29" s="195">
        <f>'Prévisionnel 2017 SCN2'!H65</f>
        <v>130</v>
      </c>
      <c r="T29" s="195">
        <f>'Prévisionnel 2017 SCN2'!I65</f>
        <v>30</v>
      </c>
      <c r="U29" s="195">
        <f>'Prévisionnel 2017 SCN2'!J65</f>
        <v>1980</v>
      </c>
      <c r="V29" s="195">
        <f>'Prévisionnel 2017 SCN2'!K65</f>
        <v>280</v>
      </c>
      <c r="W29" s="195">
        <f>'Prévisionnel 2017 SCN2'!L65</f>
        <v>0</v>
      </c>
      <c r="X29" s="195">
        <f>'Prévisionnel 2017 SCN2'!M65</f>
        <v>1950</v>
      </c>
      <c r="Y29" s="195">
        <f>'Prévisionnel 2017 SCN2'!N65</f>
        <v>280</v>
      </c>
      <c r="Z29" s="195">
        <f>'Prévisionnel 2017 SCN2'!O65</f>
        <v>30</v>
      </c>
      <c r="AA29" s="195">
        <f>'Prévisionnel 2017 SCN2'!P65</f>
        <v>1980</v>
      </c>
      <c r="AB29" s="195">
        <f>'Prévisionnel 2017 SCN2'!Q65</f>
        <v>1300</v>
      </c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</row>
    <row r="30">
      <c r="A30" s="194"/>
      <c r="B30" s="194"/>
      <c r="C30" s="203"/>
      <c r="D30" s="225" t="s">
        <v>169</v>
      </c>
      <c r="E30" s="195"/>
      <c r="F30" s="195"/>
      <c r="G30" s="195"/>
      <c r="H30" s="195"/>
      <c r="I30" s="195"/>
      <c r="J30" s="195"/>
      <c r="K30" s="195">
        <f>'Prévisionnel 2017 SCN2'!L22</f>
        <v>173.08</v>
      </c>
      <c r="L30" s="195"/>
      <c r="M30" s="195"/>
      <c r="N30" s="195"/>
      <c r="O30" s="195"/>
      <c r="P30" s="261"/>
      <c r="Q30" s="234">
        <f>'Prévisionnel 2017 SCN2'!F67</f>
        <v>299.26</v>
      </c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</row>
    <row r="31">
      <c r="A31" s="194"/>
      <c r="B31" s="194"/>
      <c r="C31" s="203"/>
      <c r="D31" s="225" t="s">
        <v>170</v>
      </c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5"/>
      <c r="Q31" s="266"/>
      <c r="R31" s="264"/>
      <c r="S31" s="264"/>
      <c r="T31" s="264"/>
      <c r="U31" s="264"/>
      <c r="V31" s="264"/>
      <c r="W31" s="264"/>
      <c r="X31" s="264"/>
      <c r="Y31" s="264"/>
      <c r="Z31" s="264"/>
      <c r="AA31" s="264"/>
      <c r="AB31" s="26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</row>
    <row r="32">
      <c r="A32" s="194"/>
      <c r="B32" s="194"/>
      <c r="C32" s="203"/>
      <c r="D32" s="225" t="s">
        <v>171</v>
      </c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5"/>
      <c r="Q32" s="266"/>
      <c r="R32" s="264"/>
      <c r="S32" s="264"/>
      <c r="T32" s="264"/>
      <c r="U32" s="264"/>
      <c r="V32" s="264"/>
      <c r="W32" s="264"/>
      <c r="X32" s="264"/>
      <c r="Y32" s="264"/>
      <c r="Z32" s="264"/>
      <c r="AA32" s="264"/>
      <c r="AB32" s="26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</row>
    <row r="33">
      <c r="A33" s="194"/>
      <c r="B33" s="194"/>
      <c r="C33" s="203"/>
      <c r="D33" s="225" t="s">
        <v>172</v>
      </c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5"/>
      <c r="Q33" s="266"/>
      <c r="R33" s="264"/>
      <c r="S33" s="264"/>
      <c r="T33" s="264"/>
      <c r="U33" s="264"/>
      <c r="V33" s="264"/>
      <c r="W33" s="264"/>
      <c r="X33" s="264"/>
      <c r="Y33" s="264"/>
      <c r="Z33" s="264"/>
      <c r="AA33" s="264"/>
      <c r="AB33" s="26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</row>
    <row r="34">
      <c r="A34" s="194"/>
      <c r="B34" s="194"/>
      <c r="C34" s="203"/>
      <c r="D34" s="225" t="s">
        <v>173</v>
      </c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5"/>
      <c r="Q34" s="266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</row>
    <row r="35">
      <c r="A35" s="194"/>
      <c r="B35" s="194"/>
      <c r="C35" s="203"/>
      <c r="D35" s="225" t="s">
        <v>174</v>
      </c>
      <c r="E35" s="195"/>
      <c r="F35" s="195"/>
      <c r="G35" s="195"/>
      <c r="H35" s="195">
        <f>'Prévisionnel 2017 SCN2'!I25</f>
        <v>26.8</v>
      </c>
      <c r="I35" s="195"/>
      <c r="J35" s="195"/>
      <c r="K35" s="195">
        <f>'Prévisionnel 2017 SCN2'!L25</f>
        <v>78.15</v>
      </c>
      <c r="L35" s="195">
        <f>'Prévisionnel 2017 SCN2'!M25</f>
        <v>17.99</v>
      </c>
      <c r="M35" s="195">
        <f>'Prévisionnel 2017 SCN2'!N25</f>
        <v>17.99</v>
      </c>
      <c r="N35" s="195">
        <f>'Prévisionnel 2017 SCN2'!O25</f>
        <v>11.79</v>
      </c>
      <c r="O35" s="195">
        <f>'Prévisionnel 2017 SCN2'!P25</f>
        <v>59.31</v>
      </c>
      <c r="P35" s="261">
        <f>'Prévisionnel 2017 SCN2'!Q25</f>
        <v>17.99</v>
      </c>
      <c r="Q35" s="234">
        <f>'Prévisionnel 2017 SCN2'!F70</f>
        <v>19.61</v>
      </c>
      <c r="R35" s="195">
        <f>'Prévisionnel 2017 SCN2'!G70</f>
        <v>27.99</v>
      </c>
      <c r="S35" s="195">
        <f>'Prévisionnel 2017 SCN2'!H70</f>
        <v>27.99</v>
      </c>
      <c r="T35" s="195">
        <f>'Prévisionnel 2017 SCN2'!I70</f>
        <v>27.99</v>
      </c>
      <c r="U35" s="195">
        <f>'Prévisionnel 2017 SCN2'!J70</f>
        <v>27.99</v>
      </c>
      <c r="V35" s="195">
        <f>'Prévisionnel 2017 SCN2'!K70</f>
        <v>27.99</v>
      </c>
      <c r="W35" s="195">
        <f>'Prévisionnel 2017 SCN2'!L70</f>
        <v>27.99</v>
      </c>
      <c r="X35" s="195">
        <f>'Prévisionnel 2017 SCN2'!M70</f>
        <v>39.99</v>
      </c>
      <c r="Y35" s="195">
        <f>'Prévisionnel 2017 SCN2'!N70</f>
        <v>39.99</v>
      </c>
      <c r="Z35" s="195">
        <f>'Prévisionnel 2017 SCN2'!O70</f>
        <v>39.99</v>
      </c>
      <c r="AA35" s="195">
        <f>'Prévisionnel 2017 SCN2'!P70</f>
        <v>39.99</v>
      </c>
      <c r="AB35" s="195">
        <f>'Prévisionnel 2017 SCN2'!Q70</f>
        <v>39.99</v>
      </c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</row>
    <row r="36">
      <c r="A36" s="194"/>
      <c r="B36" s="194"/>
      <c r="C36" s="203"/>
      <c r="D36" s="225" t="s">
        <v>68</v>
      </c>
      <c r="E36" s="195">
        <f>'Prévisionnel 2017 SCN2'!F24</f>
        <v>23.4</v>
      </c>
      <c r="F36" s="195">
        <f>'Prévisionnel 2017 SCN2'!G24</f>
        <v>40</v>
      </c>
      <c r="G36" s="195">
        <f>'Prévisionnel 2017 SCN2'!H24</f>
        <v>40</v>
      </c>
      <c r="H36" s="195">
        <f>'Prévisionnel 2017 SCN2'!I24</f>
        <v>62</v>
      </c>
      <c r="I36" s="195">
        <f>'Prévisionnel 2017 SCN2'!J24</f>
        <v>50</v>
      </c>
      <c r="J36" s="195">
        <f>'Prévisionnel 2017 SCN2'!K24</f>
        <v>60</v>
      </c>
      <c r="K36" s="195">
        <f>'Prévisionnel 2017 SCN2'!L24</f>
        <v>0</v>
      </c>
      <c r="L36" s="195">
        <f>'Prévisionnel 2017 SCN2'!M24</f>
        <v>51</v>
      </c>
      <c r="M36" s="195">
        <f>'Prévisionnel 2017 SCN2'!N24</f>
        <v>112.01</v>
      </c>
      <c r="N36" s="195">
        <f>'Prévisionnel 2017 SCN2'!O24</f>
        <v>60</v>
      </c>
      <c r="O36" s="195">
        <f>'Prévisionnel 2017 SCN2'!P24</f>
        <v>47.78</v>
      </c>
      <c r="P36" s="261">
        <f>'Prévisionnel 2017 SCN2'!Q24</f>
        <v>30</v>
      </c>
      <c r="Q36" s="234">
        <f>'Prévisionnel 2017 SCN2'!F69</f>
        <v>44</v>
      </c>
      <c r="R36" s="195">
        <f>'Prévisionnel 2017 SCN2'!G69</f>
        <v>60</v>
      </c>
      <c r="S36" s="195">
        <f>'Prévisionnel 2017 SCN2'!H69</f>
        <v>60</v>
      </c>
      <c r="T36" s="195">
        <f>'Prévisionnel 2017 SCN2'!I69</f>
        <v>60</v>
      </c>
      <c r="U36" s="195">
        <f>'Prévisionnel 2017 SCN2'!J69</f>
        <v>60</v>
      </c>
      <c r="V36" s="195">
        <f>'Prévisionnel 2017 SCN2'!K69</f>
        <v>60</v>
      </c>
      <c r="W36" s="195">
        <f>'Prévisionnel 2017 SCN2'!L69</f>
        <v>60</v>
      </c>
      <c r="X36" s="195">
        <f>'Prévisionnel 2017 SCN2'!M69</f>
        <v>60</v>
      </c>
      <c r="Y36" s="195">
        <f>'Prévisionnel 2017 SCN2'!N69</f>
        <v>60</v>
      </c>
      <c r="Z36" s="195">
        <f>'Prévisionnel 2017 SCN2'!O69</f>
        <v>60</v>
      </c>
      <c r="AA36" s="195">
        <f>'Prévisionnel 2017 SCN2'!P69</f>
        <v>60</v>
      </c>
      <c r="AB36" s="195">
        <f>'Prévisionnel 2017 SCN2'!Q69</f>
        <v>60</v>
      </c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</row>
    <row r="37">
      <c r="A37" s="194"/>
      <c r="B37" s="194"/>
      <c r="C37" s="203"/>
      <c r="D37" s="225" t="s">
        <v>176</v>
      </c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5"/>
      <c r="Q37" s="266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4"/>
    </row>
    <row r="38">
      <c r="A38" s="194"/>
      <c r="B38" s="194"/>
      <c r="C38" s="203"/>
      <c r="D38" s="225" t="s">
        <v>177</v>
      </c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5"/>
      <c r="Q38" s="266"/>
      <c r="R38" s="264"/>
      <c r="S38" s="264"/>
      <c r="T38" s="195">
        <f>'Prévisionnel 2017 SCN2'!I59</f>
        <v>5285</v>
      </c>
      <c r="U38" s="264"/>
      <c r="V38" s="264"/>
      <c r="W38" s="264"/>
      <c r="X38" s="264"/>
      <c r="Y38" s="264"/>
      <c r="Z38" s="264"/>
      <c r="AA38" s="264"/>
      <c r="AB38" s="26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</row>
    <row r="39">
      <c r="A39" s="194"/>
      <c r="B39" s="194"/>
      <c r="C39" s="203"/>
      <c r="D39" s="225" t="s">
        <v>178</v>
      </c>
      <c r="E39" s="195"/>
      <c r="F39" s="195"/>
      <c r="G39" s="195"/>
      <c r="H39" s="195"/>
      <c r="I39" s="195"/>
      <c r="J39" s="195"/>
      <c r="K39" s="195"/>
      <c r="L39" s="195"/>
      <c r="M39" s="195"/>
      <c r="N39" s="195">
        <f>'Prévisionnel 2017 SCN2'!O27</f>
        <v>1123.42</v>
      </c>
      <c r="O39" s="195">
        <f>'Prévisionnel 2017 SCN2'!P27</f>
        <v>1123.42</v>
      </c>
      <c r="P39" s="261">
        <f>'Prévisionnel 2017 SCN2'!Q27</f>
        <v>1123.42</v>
      </c>
      <c r="Q39" s="234">
        <f>'Prévisionnel 2017 SCN2'!F72</f>
        <v>1123.49</v>
      </c>
      <c r="R39" s="195">
        <f>'Prévisionnel 2017 SCN2'!G72</f>
        <v>1123.4</v>
      </c>
      <c r="S39" s="195">
        <f>'Prévisionnel 2017 SCN2'!H72</f>
        <v>2246.8</v>
      </c>
      <c r="T39" s="195">
        <f>'Prévisionnel 2017 SCN2'!I72</f>
        <v>2246.8</v>
      </c>
      <c r="U39" s="195">
        <f>'Prévisionnel 2017 SCN2'!J72</f>
        <v>2246.8</v>
      </c>
      <c r="V39" s="195">
        <f>'Prévisionnel 2017 SCN2'!K72</f>
        <v>2246.8</v>
      </c>
      <c r="W39" s="195">
        <f>'Prévisionnel 2017 SCN2'!L72</f>
        <v>2246.8</v>
      </c>
      <c r="X39" s="195">
        <f>'Prévisionnel 2017 SCN2'!M72</f>
        <v>2246.8</v>
      </c>
      <c r="Y39" s="195">
        <f>'Prévisionnel 2017 SCN2'!N72</f>
        <v>2246.8</v>
      </c>
      <c r="Z39" s="195">
        <f>'Prévisionnel 2017 SCN2'!O72</f>
        <v>2246.8</v>
      </c>
      <c r="AA39" s="195">
        <f>'Prévisionnel 2017 SCN2'!P72</f>
        <v>2246.8</v>
      </c>
      <c r="AB39" s="195">
        <f>'Prévisionnel 2017 SCN2'!Q72</f>
        <v>2246.8</v>
      </c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</row>
    <row r="40">
      <c r="A40" s="194"/>
      <c r="B40" s="194"/>
      <c r="C40" s="203"/>
      <c r="D40" s="225" t="s">
        <v>179</v>
      </c>
      <c r="E40" s="195" t="str">
        <f>'Prévisionnel 2017 SCN2'!F28</f>
        <v/>
      </c>
      <c r="F40" s="195" t="str">
        <f>'Prévisionnel 2017 SCN2'!G28</f>
        <v/>
      </c>
      <c r="G40" s="195" t="str">
        <f>'Prévisionnel 2017 SCN2'!H28</f>
        <v/>
      </c>
      <c r="H40" s="195" t="str">
        <f>'Prévisionnel 2017 SCN2'!I28</f>
        <v/>
      </c>
      <c r="I40" s="195" t="str">
        <f>'Prévisionnel 2017 SCN2'!J28</f>
        <v/>
      </c>
      <c r="J40" s="195" t="str">
        <f>'Prévisionnel 2017 SCN2'!K28</f>
        <v/>
      </c>
      <c r="K40" s="195" t="str">
        <f>'Prévisionnel 2017 SCN2'!L28</f>
        <v/>
      </c>
      <c r="L40" s="195" t="str">
        <f>'Prévisionnel 2017 SCN2'!M28</f>
        <v/>
      </c>
      <c r="M40" s="195"/>
      <c r="N40" s="195"/>
      <c r="O40" s="195">
        <f>'Prévisionnel 2017 SCN2'!P28</f>
        <v>359</v>
      </c>
      <c r="P40" s="261"/>
      <c r="Q40" s="234">
        <f>'Prévisionnel 2017 SCN2'!F73</f>
        <v>1078</v>
      </c>
      <c r="R40" s="195">
        <f>'Prévisionnel 2017 SCN2'!G73</f>
        <v>727</v>
      </c>
      <c r="S40" s="195">
        <f>'Prévisionnel 2017 SCN2'!H73</f>
        <v>253</v>
      </c>
      <c r="T40" s="195">
        <f>'Prévisionnel 2017 SCN2'!I73</f>
        <v>2995</v>
      </c>
      <c r="U40" s="195">
        <f>'Prévisionnel 2017 SCN2'!J73</f>
        <v>110</v>
      </c>
      <c r="V40" s="195">
        <f>'Prévisionnel 2017 SCN2'!K73</f>
        <v>110</v>
      </c>
      <c r="W40" s="195">
        <f>'Prévisionnel 2017 SCN2'!L73</f>
        <v>2418</v>
      </c>
      <c r="X40" s="195">
        <f>'Prévisionnel 2017 SCN2'!M73</f>
        <v>110</v>
      </c>
      <c r="Y40" s="195">
        <f>'Prévisionnel 2017 SCN2'!N73</f>
        <v>110</v>
      </c>
      <c r="Z40" s="195">
        <f>'Prévisionnel 2017 SCN2'!O73</f>
        <v>2418</v>
      </c>
      <c r="AA40" s="195">
        <f>'Prévisionnel 2017 SCN2'!P73</f>
        <v>110</v>
      </c>
      <c r="AB40" s="195">
        <f>'Prévisionnel 2017 SCN2'!Q73</f>
        <v>110</v>
      </c>
      <c r="AC40" s="194"/>
      <c r="AD40" s="194"/>
      <c r="AE40" s="194"/>
      <c r="AF40" s="194"/>
      <c r="AG40" s="194"/>
      <c r="AH40" s="194"/>
      <c r="AI40" s="194"/>
      <c r="AJ40" s="194"/>
      <c r="AK40" s="194"/>
      <c r="AL40" s="194"/>
    </row>
    <row r="41">
      <c r="A41" s="194"/>
      <c r="B41" s="194"/>
      <c r="C41" s="203"/>
      <c r="D41" s="225" t="s">
        <v>180</v>
      </c>
      <c r="E41" s="195">
        <f>'Prévisionnel 2017 SCN2'!F26</f>
        <v>17.77</v>
      </c>
      <c r="F41" s="195">
        <f>'Prévisionnel 2017 SCN2'!G26</f>
        <v>7.3</v>
      </c>
      <c r="G41" s="195">
        <f>'Prévisionnel 2017 SCN2'!H26</f>
        <v>7.3</v>
      </c>
      <c r="H41" s="195">
        <f>'Prévisionnel 2017 SCN2'!I26</f>
        <v>19.56</v>
      </c>
      <c r="I41" s="195">
        <f>'Prévisionnel 2017 SCN2'!J26</f>
        <v>13.06</v>
      </c>
      <c r="J41" s="195">
        <f>'Prévisionnel 2017 SCN2'!K26</f>
        <v>25.65</v>
      </c>
      <c r="K41" s="195">
        <f>'Prévisionnel 2017 SCN2'!L26</f>
        <v>7.3</v>
      </c>
      <c r="L41" s="195">
        <f>'Prévisionnel 2017 SCN2'!M26</f>
        <v>7.3</v>
      </c>
      <c r="M41" s="195">
        <f>'Prévisionnel 2017 SCN2'!N26</f>
        <v>24.19</v>
      </c>
      <c r="N41" s="195">
        <f>'Prévisionnel 2017 SCN2'!O26</f>
        <v>7.3</v>
      </c>
      <c r="O41" s="195">
        <f>'Prévisionnel 2017 SCN2'!P26</f>
        <v>7.3</v>
      </c>
      <c r="P41" s="261">
        <f>'Prévisionnel 2017 SCN2'!Q26</f>
        <v>60.12</v>
      </c>
      <c r="Q41" s="234">
        <f>'Prévisionnel 2017 SCN2'!F71</f>
        <v>7.3</v>
      </c>
      <c r="R41" s="195">
        <f>'Prévisionnel 2017 SCN2'!G71</f>
        <v>20</v>
      </c>
      <c r="S41" s="195">
        <f>'Prévisionnel 2017 SCN2'!H71</f>
        <v>20</v>
      </c>
      <c r="T41" s="195">
        <f>'Prévisionnel 2017 SCN2'!I71</f>
        <v>20</v>
      </c>
      <c r="U41" s="195">
        <f>'Prévisionnel 2017 SCN2'!J71</f>
        <v>20</v>
      </c>
      <c r="V41" s="195">
        <f>'Prévisionnel 2017 SCN2'!K71</f>
        <v>20</v>
      </c>
      <c r="W41" s="195">
        <f>'Prévisionnel 2017 SCN2'!L71</f>
        <v>20</v>
      </c>
      <c r="X41" s="195">
        <f>'Prévisionnel 2017 SCN2'!M71</f>
        <v>20</v>
      </c>
      <c r="Y41" s="195">
        <f>'Prévisionnel 2017 SCN2'!N71</f>
        <v>20</v>
      </c>
      <c r="Z41" s="195">
        <f>'Prévisionnel 2017 SCN2'!O71</f>
        <v>20</v>
      </c>
      <c r="AA41" s="195">
        <f>'Prévisionnel 2017 SCN2'!P71</f>
        <v>20</v>
      </c>
      <c r="AB41" s="195">
        <f>'Prévisionnel 2017 SCN2'!Q71</f>
        <v>20</v>
      </c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</row>
    <row r="42">
      <c r="A42" s="194"/>
      <c r="B42" s="194"/>
      <c r="C42" s="203"/>
      <c r="D42" s="225" t="s">
        <v>181</v>
      </c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5"/>
      <c r="Q42" s="266"/>
      <c r="R42" s="264"/>
      <c r="S42" s="264"/>
      <c r="T42" s="264"/>
      <c r="U42" s="264"/>
      <c r="V42" s="264"/>
      <c r="W42" s="264"/>
      <c r="X42" s="264"/>
      <c r="Y42" s="264"/>
      <c r="Z42" s="264"/>
      <c r="AA42" s="264"/>
      <c r="AB42" s="26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</row>
    <row r="43">
      <c r="A43" s="194"/>
      <c r="B43" s="194"/>
      <c r="C43" s="203"/>
      <c r="D43" s="225" t="s">
        <v>182</v>
      </c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64"/>
      <c r="P43" s="265"/>
      <c r="Q43" s="234" t="str">
        <f>'Prévisionnel 2017 SCN2'!F58</f>
        <v/>
      </c>
      <c r="R43" s="195" t="str">
        <f>'Prévisionnel 2017 SCN2'!G58</f>
        <v/>
      </c>
      <c r="S43" s="195" t="str">
        <f>'Prévisionnel 2017 SCN2'!H58</f>
        <v/>
      </c>
      <c r="T43" s="195" t="str">
        <f>'Prévisionnel 2017 SCN2'!I58</f>
        <v/>
      </c>
      <c r="U43" s="195" t="str">
        <f>'Prévisionnel 2017 SCN2'!J58</f>
        <v/>
      </c>
      <c r="V43" s="195" t="str">
        <f>'Prévisionnel 2017 SCN2'!K58</f>
        <v/>
      </c>
      <c r="W43" s="195" t="str">
        <f>'Prévisionnel 2017 SCN2'!L58</f>
        <v/>
      </c>
      <c r="X43" s="195" t="str">
        <f>'Prévisionnel 2017 SCN2'!M58</f>
        <v/>
      </c>
      <c r="Y43" s="195">
        <f>'Prévisionnel 2017 SCN2'!N58</f>
        <v>210.0535248</v>
      </c>
      <c r="Z43" s="195">
        <f>'Prévisionnel 2017 SCN2'!O58</f>
        <v>152.5670776</v>
      </c>
      <c r="AA43" s="195">
        <f>'Prévisionnel 2017 SCN2'!P58</f>
        <v>216.7038048</v>
      </c>
      <c r="AB43" s="195">
        <f>'Prévisionnel 2017 SCN2'!Q58</f>
        <v>169.8405321</v>
      </c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</row>
    <row r="44">
      <c r="A44" s="194"/>
      <c r="B44" s="194"/>
      <c r="C44" s="203"/>
      <c r="D44" s="241" t="s">
        <v>183</v>
      </c>
      <c r="E44" s="269">
        <f t="shared" ref="E44:AB44" si="5">SUM(E21:E43)</f>
        <v>2116.29</v>
      </c>
      <c r="F44" s="269">
        <f t="shared" si="5"/>
        <v>2680.15</v>
      </c>
      <c r="G44" s="269">
        <f t="shared" si="5"/>
        <v>2765.99</v>
      </c>
      <c r="H44" s="269">
        <f t="shared" si="5"/>
        <v>3610.04</v>
      </c>
      <c r="I44" s="269">
        <f t="shared" si="5"/>
        <v>3663.59</v>
      </c>
      <c r="J44" s="269">
        <f t="shared" si="5"/>
        <v>4324.57</v>
      </c>
      <c r="K44" s="269">
        <f t="shared" si="5"/>
        <v>2732.41</v>
      </c>
      <c r="L44" s="269">
        <f t="shared" si="5"/>
        <v>4445.86</v>
      </c>
      <c r="M44" s="269">
        <f t="shared" si="5"/>
        <v>5164.98</v>
      </c>
      <c r="N44" s="269">
        <f t="shared" si="5"/>
        <v>7635.09</v>
      </c>
      <c r="O44" s="269">
        <f t="shared" si="5"/>
        <v>10872.73</v>
      </c>
      <c r="P44" s="271">
        <f t="shared" si="5"/>
        <v>11782.13</v>
      </c>
      <c r="Q44" s="272">
        <f t="shared" si="5"/>
        <v>16278.23</v>
      </c>
      <c r="R44" s="273">
        <f t="shared" si="5"/>
        <v>13917.6046</v>
      </c>
      <c r="S44" s="273">
        <f t="shared" si="5"/>
        <v>10272.2306</v>
      </c>
      <c r="T44" s="273">
        <f t="shared" si="5"/>
        <v>18653.88382</v>
      </c>
      <c r="U44" s="273">
        <f t="shared" si="5"/>
        <v>12249.10982</v>
      </c>
      <c r="V44" s="273">
        <f t="shared" si="5"/>
        <v>11067.59382</v>
      </c>
      <c r="W44" s="273">
        <f t="shared" si="5"/>
        <v>12773.72286</v>
      </c>
      <c r="X44" s="273">
        <f t="shared" si="5"/>
        <v>13038.94886</v>
      </c>
      <c r="Y44" s="273">
        <f t="shared" si="5"/>
        <v>11524.22838</v>
      </c>
      <c r="Z44" s="273">
        <f t="shared" si="5"/>
        <v>13923.74996</v>
      </c>
      <c r="AA44" s="273">
        <f t="shared" si="5"/>
        <v>13445.11268</v>
      </c>
      <c r="AB44" s="273">
        <f t="shared" si="5"/>
        <v>13329.47541</v>
      </c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</row>
    <row r="45">
      <c r="A45" s="194"/>
      <c r="B45" s="194"/>
      <c r="C45" s="203"/>
      <c r="D45" s="224" t="s">
        <v>152</v>
      </c>
      <c r="E45" s="1"/>
      <c r="Q45" s="1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</row>
    <row r="46">
      <c r="A46" s="194"/>
      <c r="B46" s="194"/>
      <c r="C46" s="203"/>
      <c r="D46" s="225" t="s">
        <v>184</v>
      </c>
      <c r="E46" s="264"/>
      <c r="F46" s="274"/>
      <c r="G46" s="274"/>
      <c r="H46" s="274"/>
      <c r="I46" s="274"/>
      <c r="J46" s="274"/>
      <c r="K46" s="274"/>
      <c r="L46" s="274"/>
      <c r="M46" s="274"/>
      <c r="N46" s="274"/>
      <c r="O46" s="274"/>
      <c r="P46" s="276"/>
      <c r="Q46" s="266"/>
      <c r="R46" s="274"/>
      <c r="S46" s="274"/>
      <c r="T46" s="274"/>
      <c r="U46" s="274"/>
      <c r="V46" s="274"/>
      <c r="W46" s="274"/>
      <c r="X46" s="274"/>
      <c r="Y46" s="274"/>
      <c r="Z46" s="274"/>
      <c r="AA46" s="274"/>
      <c r="AB46" s="27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</row>
    <row r="47">
      <c r="A47" s="194"/>
      <c r="B47" s="194"/>
      <c r="C47" s="203"/>
      <c r="D47" s="225" t="s">
        <v>185</v>
      </c>
      <c r="E47" s="264"/>
      <c r="F47" s="274"/>
      <c r="G47" s="274"/>
      <c r="H47" s="274"/>
      <c r="I47" s="274"/>
      <c r="J47" s="274"/>
      <c r="K47" s="274"/>
      <c r="L47" s="274"/>
      <c r="M47" s="274"/>
      <c r="N47" s="274"/>
      <c r="O47" s="274"/>
      <c r="P47" s="276"/>
      <c r="Q47" s="266"/>
      <c r="R47" s="274"/>
      <c r="S47" s="274"/>
      <c r="T47" s="274"/>
      <c r="U47" s="274"/>
      <c r="V47" s="274"/>
      <c r="W47" s="274"/>
      <c r="X47" s="274"/>
      <c r="Y47" s="274"/>
      <c r="Z47" s="274"/>
      <c r="AA47" s="274"/>
      <c r="AB47" s="27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</row>
    <row r="48">
      <c r="A48" s="194"/>
      <c r="B48" s="194"/>
      <c r="C48" s="203"/>
      <c r="D48" s="225" t="s">
        <v>186</v>
      </c>
      <c r="E48" s="264"/>
      <c r="F48" s="274"/>
      <c r="G48" s="274"/>
      <c r="H48" s="274"/>
      <c r="I48" s="274"/>
      <c r="J48" s="274"/>
      <c r="K48" s="274"/>
      <c r="L48" s="274"/>
      <c r="M48" s="274"/>
      <c r="N48" s="274"/>
      <c r="O48" s="274"/>
      <c r="P48" s="276"/>
      <c r="Q48" s="266"/>
      <c r="R48" s="274"/>
      <c r="S48" s="274"/>
      <c r="T48" s="274"/>
      <c r="U48" s="274"/>
      <c r="V48" s="274"/>
      <c r="W48" s="274"/>
      <c r="X48" s="274"/>
      <c r="Y48" s="274"/>
      <c r="Z48" s="274"/>
      <c r="AA48" s="274"/>
      <c r="AB48" s="274"/>
      <c r="AC48" s="194"/>
      <c r="AD48" s="194"/>
      <c r="AE48" s="194"/>
      <c r="AF48" s="194"/>
      <c r="AG48" s="194"/>
      <c r="AH48" s="194"/>
      <c r="AI48" s="194"/>
      <c r="AJ48" s="194"/>
      <c r="AK48" s="194"/>
      <c r="AL48" s="194"/>
    </row>
    <row r="49">
      <c r="A49" s="194"/>
      <c r="B49" s="194"/>
      <c r="C49" s="203"/>
      <c r="D49" s="225" t="s">
        <v>187</v>
      </c>
      <c r="E49" s="195"/>
      <c r="F49" s="195">
        <f>'Prévisionnel 2017 SCN2'!G29</f>
        <v>13.64</v>
      </c>
      <c r="G49" s="195"/>
      <c r="H49" s="195"/>
      <c r="I49" s="195">
        <f>'Prévisionnel 2017 SCN2'!J29</f>
        <v>29.72</v>
      </c>
      <c r="J49" s="195"/>
      <c r="K49" s="195"/>
      <c r="L49" s="195"/>
      <c r="M49" s="195">
        <f>'Prévisionnel 2017 SCN2'!N29</f>
        <v>59.72</v>
      </c>
      <c r="N49" s="195"/>
      <c r="O49" s="195"/>
      <c r="P49" s="261">
        <f>'Prévisionnel 2017 SCN2'!Q29</f>
        <v>10.25</v>
      </c>
      <c r="Q49" s="234">
        <v>50.0</v>
      </c>
      <c r="R49" s="195">
        <v>50.0</v>
      </c>
      <c r="S49" s="195">
        <v>50.0</v>
      </c>
      <c r="T49" s="195">
        <v>50.0</v>
      </c>
      <c r="U49" s="195">
        <v>50.0</v>
      </c>
      <c r="V49" s="195">
        <v>50.0</v>
      </c>
      <c r="W49" s="195">
        <v>50.0</v>
      </c>
      <c r="X49" s="195">
        <v>50.0</v>
      </c>
      <c r="Y49" s="195">
        <v>50.0</v>
      </c>
      <c r="Z49" s="195">
        <v>50.0</v>
      </c>
      <c r="AA49" s="195">
        <v>50.0</v>
      </c>
      <c r="AB49" s="195">
        <v>50.0</v>
      </c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</row>
    <row r="50">
      <c r="A50" s="194"/>
      <c r="B50" s="194"/>
      <c r="C50" s="203"/>
      <c r="D50" s="225" t="s">
        <v>188</v>
      </c>
      <c r="E50" s="264"/>
      <c r="F50" s="274"/>
      <c r="G50" s="274"/>
      <c r="H50" s="274"/>
      <c r="I50" s="274"/>
      <c r="J50" s="274"/>
      <c r="K50" s="274"/>
      <c r="L50" s="274"/>
      <c r="M50" s="274"/>
      <c r="N50" s="274"/>
      <c r="O50" s="274"/>
      <c r="P50" s="276"/>
      <c r="Q50" s="266"/>
      <c r="R50" s="274"/>
      <c r="S50" s="274"/>
      <c r="T50" s="274"/>
      <c r="U50" s="274"/>
      <c r="V50" s="274"/>
      <c r="W50" s="274"/>
      <c r="X50" s="274"/>
      <c r="Y50" s="274"/>
      <c r="Z50" s="274"/>
      <c r="AA50" s="274"/>
      <c r="AB50" s="27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</row>
    <row r="51">
      <c r="A51" s="194"/>
      <c r="B51" s="194"/>
      <c r="C51" s="203"/>
      <c r="D51" s="225" t="s">
        <v>189</v>
      </c>
      <c r="E51" s="264"/>
      <c r="F51" s="274"/>
      <c r="G51" s="274"/>
      <c r="H51" s="274"/>
      <c r="I51" s="274"/>
      <c r="J51" s="274"/>
      <c r="K51" s="274"/>
      <c r="L51" s="274"/>
      <c r="M51" s="274"/>
      <c r="N51" s="274"/>
      <c r="O51" s="274"/>
      <c r="P51" s="276"/>
      <c r="Q51" s="234">
        <f>'Prévisionnel 2017 SCN2'!F55</f>
        <v>663.1</v>
      </c>
      <c r="R51" s="195" t="str">
        <f>'Prévisionnel 2017 SCN2'!G55</f>
        <v/>
      </c>
      <c r="S51" s="195">
        <f>'Prévisionnel 2017 SCN2'!H55</f>
        <v>1500</v>
      </c>
      <c r="T51" s="195" t="str">
        <f>'Prévisionnel 2017 SCN2'!I55</f>
        <v/>
      </c>
      <c r="U51" s="195" t="str">
        <f>'Prévisionnel 2017 SCN2'!J55</f>
        <v/>
      </c>
      <c r="V51" s="195" t="str">
        <f>'Prévisionnel 2017 SCN2'!K55</f>
        <v/>
      </c>
      <c r="W51" s="195" t="str">
        <f>'Prévisionnel 2017 SCN2'!L55</f>
        <v/>
      </c>
      <c r="X51" s="195" t="str">
        <f>'Prévisionnel 2017 SCN2'!M55</f>
        <v/>
      </c>
      <c r="Y51" s="195" t="str">
        <f>'Prévisionnel 2017 SCN2'!N55</f>
        <v/>
      </c>
      <c r="Z51" s="195" t="str">
        <f>'Prévisionnel 2017 SCN2'!O55</f>
        <v/>
      </c>
      <c r="AA51" s="195" t="str">
        <f>'Prévisionnel 2017 SCN2'!P55</f>
        <v/>
      </c>
      <c r="AB51" s="195" t="str">
        <f>'Prévisionnel 2017 SCN2'!Q55</f>
        <v/>
      </c>
      <c r="AC51" s="194"/>
      <c r="AD51" s="194"/>
      <c r="AE51" s="194"/>
      <c r="AF51" s="194"/>
      <c r="AG51" s="194"/>
      <c r="AH51" s="194"/>
      <c r="AI51" s="194"/>
      <c r="AJ51" s="194"/>
      <c r="AK51" s="194"/>
      <c r="AL51" s="194"/>
    </row>
    <row r="52">
      <c r="A52" s="194"/>
      <c r="B52" s="194"/>
      <c r="C52" s="203"/>
      <c r="D52" s="225" t="s">
        <v>190</v>
      </c>
      <c r="E52" s="26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6"/>
      <c r="Q52" s="234"/>
      <c r="R52" s="195"/>
      <c r="S52" s="195"/>
      <c r="T52" s="195"/>
      <c r="U52" s="195"/>
      <c r="V52" s="195"/>
      <c r="W52" s="195"/>
      <c r="X52" s="195"/>
      <c r="Y52" s="195"/>
      <c r="Z52" s="195"/>
      <c r="AA52" s="195"/>
      <c r="AB52" s="195"/>
      <c r="AC52" s="194"/>
      <c r="AD52" s="194"/>
      <c r="AE52" s="194"/>
      <c r="AF52" s="194"/>
      <c r="AG52" s="194"/>
      <c r="AH52" s="194"/>
      <c r="AI52" s="194"/>
      <c r="AJ52" s="194"/>
      <c r="AK52" s="194"/>
      <c r="AL52" s="194"/>
    </row>
    <row r="53">
      <c r="A53" s="194"/>
      <c r="B53" s="194"/>
      <c r="C53" s="203"/>
      <c r="D53" s="225" t="s">
        <v>191</v>
      </c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>
        <f>'Prévisionnel 2017 SCN2'!P12</f>
        <v>327.88</v>
      </c>
      <c r="P53" s="261">
        <f>'Prévisionnel 2017 SCN2'!Q12</f>
        <v>7080.76</v>
      </c>
      <c r="Q53" s="234"/>
      <c r="R53" s="195" t="str">
        <f>'Prévisionnel 2017 SCN2'!G56</f>
        <v/>
      </c>
      <c r="S53" s="195">
        <f>'Prévisionnel 2017 SCN2'!H56</f>
        <v>7000</v>
      </c>
      <c r="T53" s="195" t="str">
        <f>'Prévisionnel 2017 SCN2'!I56</f>
        <v/>
      </c>
      <c r="U53" s="195" t="str">
        <f>'Prévisionnel 2017 SCN2'!J56</f>
        <v/>
      </c>
      <c r="V53" s="195" t="str">
        <f>'Prévisionnel 2017 SCN2'!K56</f>
        <v/>
      </c>
      <c r="W53" s="195" t="str">
        <f>'Prévisionnel 2017 SCN2'!L56</f>
        <v/>
      </c>
      <c r="X53" s="195" t="str">
        <f>'Prévisionnel 2017 SCN2'!M56</f>
        <v/>
      </c>
      <c r="Y53" s="195" t="str">
        <f>'Prévisionnel 2017 SCN2'!N56</f>
        <v/>
      </c>
      <c r="Z53" s="195" t="str">
        <f>'Prévisionnel 2017 SCN2'!O56</f>
        <v/>
      </c>
      <c r="AA53" s="195" t="str">
        <f>'Prévisionnel 2017 SCN2'!P56</f>
        <v/>
      </c>
      <c r="AB53" s="195" t="str">
        <f>'Prévisionnel 2017 SCN2'!Q56</f>
        <v/>
      </c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</row>
    <row r="54">
      <c r="A54" s="194"/>
      <c r="B54" s="194"/>
      <c r="C54" s="203"/>
      <c r="D54" s="225" t="s">
        <v>192</v>
      </c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261"/>
      <c r="Q54" s="266"/>
      <c r="R54" s="274"/>
      <c r="S54" s="274"/>
      <c r="T54" s="274"/>
      <c r="U54" s="274"/>
      <c r="V54" s="274"/>
      <c r="W54" s="274"/>
      <c r="X54" s="274"/>
      <c r="Y54" s="274"/>
      <c r="Z54" s="274"/>
      <c r="AA54" s="274"/>
      <c r="AB54" s="274"/>
      <c r="AC54" s="194"/>
      <c r="AD54" s="194"/>
      <c r="AE54" s="194"/>
      <c r="AF54" s="194"/>
      <c r="AG54" s="194"/>
      <c r="AH54" s="194"/>
      <c r="AI54" s="194"/>
      <c r="AJ54" s="194"/>
      <c r="AK54" s="194"/>
      <c r="AL54" s="194"/>
    </row>
    <row r="55">
      <c r="A55" s="194"/>
      <c r="B55" s="194"/>
      <c r="C55" s="203"/>
      <c r="D55" s="225" t="s">
        <v>193</v>
      </c>
      <c r="E55" s="195"/>
      <c r="F55" s="195"/>
      <c r="G55" s="195"/>
      <c r="H55" s="195"/>
      <c r="I55" s="195"/>
      <c r="J55" s="195">
        <f>'Prévisionnel 2017 SCN2'!K13</f>
        <v>650</v>
      </c>
      <c r="K55" s="195"/>
      <c r="L55" s="195"/>
      <c r="M55" s="195"/>
      <c r="N55" s="195"/>
      <c r="O55" s="195"/>
      <c r="P55" s="261"/>
      <c r="Q55" s="234"/>
      <c r="R55" s="195"/>
      <c r="S55" s="195"/>
      <c r="T55" s="195"/>
      <c r="U55" s="195"/>
      <c r="V55" s="195"/>
      <c r="W55" s="195"/>
      <c r="X55" s="195"/>
      <c r="Y55" s="195"/>
      <c r="Z55" s="195"/>
      <c r="AA55" s="195"/>
      <c r="AB55" s="195"/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</row>
    <row r="56">
      <c r="A56" s="194"/>
      <c r="B56" s="194"/>
      <c r="C56" s="203"/>
      <c r="D56" s="249" t="s">
        <v>194</v>
      </c>
      <c r="E56" s="195">
        <f>'Prévisionnel 2017 SCN2'!F30</f>
        <v>10</v>
      </c>
      <c r="F56" s="195"/>
      <c r="G56" s="195"/>
      <c r="H56" s="195"/>
      <c r="I56" s="195"/>
      <c r="J56" s="195"/>
      <c r="K56" s="195">
        <f>'Prévisionnel 2017 SCN2'!L30</f>
        <v>100</v>
      </c>
      <c r="L56" s="195">
        <f>'Prévisionnel 2017 SCN2'!M30</f>
        <v>70.75</v>
      </c>
      <c r="M56" s="195">
        <f>'Prévisionnel 2017 SCN2'!N30</f>
        <v>66.61</v>
      </c>
      <c r="N56" s="195">
        <f>'Prévisionnel 2017 SCN2'!O30</f>
        <v>97.68</v>
      </c>
      <c r="O56" s="195"/>
      <c r="P56" s="261">
        <f>'Prévisionnel 2017 SCN2'!Q30</f>
        <v>3951.92</v>
      </c>
      <c r="Q56" s="234">
        <f>'Prévisionnel 2017 SCN2'!F75</f>
        <v>59</v>
      </c>
      <c r="R56" s="195">
        <f>'Prévisionnel 2017 SCN2'!G75</f>
        <v>50</v>
      </c>
      <c r="S56" s="195">
        <f>'Prévisionnel 2017 SCN2'!H75</f>
        <v>50</v>
      </c>
      <c r="T56" s="195">
        <f>'Prévisionnel 2017 SCN2'!I75</f>
        <v>50</v>
      </c>
      <c r="U56" s="195">
        <f>'Prévisionnel 2017 SCN2'!J75</f>
        <v>50</v>
      </c>
      <c r="V56" s="195">
        <f>'Prévisionnel 2017 SCN2'!K75</f>
        <v>50</v>
      </c>
      <c r="W56" s="195">
        <f>'Prévisionnel 2017 SCN2'!L75</f>
        <v>50</v>
      </c>
      <c r="X56" s="195">
        <f>'Prévisionnel 2017 SCN2'!M75</f>
        <v>50</v>
      </c>
      <c r="Y56" s="195">
        <f>'Prévisionnel 2017 SCN2'!N75</f>
        <v>50</v>
      </c>
      <c r="Z56" s="195">
        <f>'Prévisionnel 2017 SCN2'!O75</f>
        <v>50</v>
      </c>
      <c r="AA56" s="195">
        <f>'Prévisionnel 2017 SCN2'!P75</f>
        <v>50</v>
      </c>
      <c r="AB56" s="195">
        <f>'Prévisionnel 2017 SCN2'!Q75</f>
        <v>50</v>
      </c>
      <c r="AC56" s="194"/>
      <c r="AD56" s="194"/>
      <c r="AE56" s="194"/>
      <c r="AF56" s="194"/>
      <c r="AG56" s="194"/>
      <c r="AH56" s="194"/>
      <c r="AI56" s="194"/>
      <c r="AJ56" s="194"/>
      <c r="AK56" s="194"/>
      <c r="AL56" s="194"/>
    </row>
    <row r="57">
      <c r="A57" s="194"/>
      <c r="B57" s="194"/>
      <c r="C57" s="203"/>
      <c r="D57" s="249" t="s">
        <v>195</v>
      </c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261"/>
      <c r="Q57" s="234">
        <f>'Prévisionnel 2017 SCN2'!F76</f>
        <v>709.6672117</v>
      </c>
      <c r="R57" s="234">
        <f>'Prévisionnel 2017 SCN2'!G76</f>
        <v>709.6672117</v>
      </c>
      <c r="S57" s="234">
        <f>'Prévisionnel 2017 SCN2'!H76</f>
        <v>709.6672117</v>
      </c>
      <c r="T57" s="234">
        <f>'Prévisionnel 2017 SCN2'!I76</f>
        <v>709.6672117</v>
      </c>
      <c r="U57" s="234">
        <f>'Prévisionnel 2017 SCN2'!J76</f>
        <v>709.6672117</v>
      </c>
      <c r="V57" s="234">
        <f>'Prévisionnel 2017 SCN2'!K76</f>
        <v>709.6672117</v>
      </c>
      <c r="W57" s="234">
        <f>'Prévisionnel 2017 SCN2'!L76</f>
        <v>709.6672117</v>
      </c>
      <c r="X57" s="234">
        <f>'Prévisionnel 2017 SCN2'!M76</f>
        <v>709.6672117</v>
      </c>
      <c r="Y57" s="234">
        <f>'Prévisionnel 2017 SCN2'!N76</f>
        <v>709.6672117</v>
      </c>
      <c r="Z57" s="234">
        <f>'Prévisionnel 2017 SCN2'!O76</f>
        <v>709.6672117</v>
      </c>
      <c r="AA57" s="234">
        <f>'Prévisionnel 2017 SCN2'!P76</f>
        <v>709.6672117</v>
      </c>
      <c r="AB57" s="234">
        <f>'Prévisionnel 2017 SCN2'!Q76</f>
        <v>709.6672117</v>
      </c>
      <c r="AC57" s="194"/>
      <c r="AD57" s="194"/>
      <c r="AE57" s="194"/>
      <c r="AF57" s="194"/>
      <c r="AG57" s="194"/>
      <c r="AH57" s="194"/>
      <c r="AI57" s="194"/>
      <c r="AJ57" s="194"/>
      <c r="AK57" s="194"/>
      <c r="AL57" s="194"/>
    </row>
    <row r="58">
      <c r="A58" s="194"/>
      <c r="B58" s="194"/>
      <c r="C58" s="203"/>
      <c r="D58" s="225" t="s">
        <v>196</v>
      </c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261"/>
      <c r="Q58" s="266"/>
      <c r="R58" s="264"/>
      <c r="S58" s="264"/>
      <c r="T58" s="264"/>
      <c r="U58" s="264"/>
      <c r="V58" s="264"/>
      <c r="W58" s="264"/>
      <c r="X58" s="264"/>
      <c r="Y58" s="264"/>
      <c r="Z58" s="264"/>
      <c r="AA58" s="264"/>
      <c r="AB58" s="264"/>
      <c r="AC58" s="194"/>
      <c r="AD58" s="194"/>
      <c r="AE58" s="194"/>
      <c r="AF58" s="194"/>
      <c r="AG58" s="194"/>
      <c r="AH58" s="194"/>
      <c r="AI58" s="194"/>
      <c r="AJ58" s="194"/>
      <c r="AK58" s="194"/>
      <c r="AL58" s="194"/>
    </row>
    <row r="59">
      <c r="A59" s="194"/>
      <c r="B59" s="194"/>
      <c r="C59" s="203"/>
      <c r="D59" s="253" t="s">
        <v>197</v>
      </c>
      <c r="E59" s="195">
        <f t="shared" ref="E59:AB59" si="6">SUM(E46:E58)</f>
        <v>10</v>
      </c>
      <c r="F59" s="195">
        <f t="shared" si="6"/>
        <v>13.64</v>
      </c>
      <c r="G59" s="195">
        <f t="shared" si="6"/>
        <v>0</v>
      </c>
      <c r="H59" s="195">
        <f t="shared" si="6"/>
        <v>0</v>
      </c>
      <c r="I59" s="195">
        <f t="shared" si="6"/>
        <v>29.72</v>
      </c>
      <c r="J59" s="195">
        <f t="shared" si="6"/>
        <v>650</v>
      </c>
      <c r="K59" s="195">
        <f t="shared" si="6"/>
        <v>100</v>
      </c>
      <c r="L59" s="195">
        <f t="shared" si="6"/>
        <v>70.75</v>
      </c>
      <c r="M59" s="195">
        <f t="shared" si="6"/>
        <v>126.33</v>
      </c>
      <c r="N59" s="195">
        <f t="shared" si="6"/>
        <v>97.68</v>
      </c>
      <c r="O59" s="195">
        <f t="shared" si="6"/>
        <v>327.88</v>
      </c>
      <c r="P59" s="261">
        <f t="shared" si="6"/>
        <v>11042.93</v>
      </c>
      <c r="Q59" s="234">
        <f t="shared" si="6"/>
        <v>1481.767212</v>
      </c>
      <c r="R59" s="195">
        <f t="shared" si="6"/>
        <v>809.6672117</v>
      </c>
      <c r="S59" s="195">
        <f t="shared" si="6"/>
        <v>9309.667212</v>
      </c>
      <c r="T59" s="195">
        <f t="shared" si="6"/>
        <v>809.6672117</v>
      </c>
      <c r="U59" s="195">
        <f t="shared" si="6"/>
        <v>809.6672117</v>
      </c>
      <c r="V59" s="195">
        <f t="shared" si="6"/>
        <v>809.6672117</v>
      </c>
      <c r="W59" s="195">
        <f t="shared" si="6"/>
        <v>809.6672117</v>
      </c>
      <c r="X59" s="195">
        <f t="shared" si="6"/>
        <v>809.6672117</v>
      </c>
      <c r="Y59" s="195">
        <f t="shared" si="6"/>
        <v>809.6672117</v>
      </c>
      <c r="Z59" s="195">
        <f t="shared" si="6"/>
        <v>809.6672117</v>
      </c>
      <c r="AA59" s="195">
        <f t="shared" si="6"/>
        <v>809.6672117</v>
      </c>
      <c r="AB59" s="195">
        <f t="shared" si="6"/>
        <v>809.6672117</v>
      </c>
      <c r="AC59" s="194"/>
      <c r="AD59" s="194"/>
      <c r="AE59" s="194"/>
      <c r="AF59" s="194"/>
      <c r="AG59" s="194"/>
      <c r="AH59" s="194"/>
      <c r="AI59" s="194"/>
      <c r="AJ59" s="194"/>
      <c r="AK59" s="194"/>
      <c r="AL59" s="194"/>
    </row>
    <row r="60">
      <c r="A60" s="194"/>
      <c r="B60" s="194"/>
      <c r="C60" s="203"/>
      <c r="D60" s="256" t="s">
        <v>198</v>
      </c>
      <c r="E60" s="279">
        <f t="shared" ref="E60:AB60" si="7">E44+E59</f>
        <v>2126.29</v>
      </c>
      <c r="F60" s="279">
        <f t="shared" si="7"/>
        <v>2693.79</v>
      </c>
      <c r="G60" s="279">
        <f t="shared" si="7"/>
        <v>2765.99</v>
      </c>
      <c r="H60" s="279">
        <f t="shared" si="7"/>
        <v>3610.04</v>
      </c>
      <c r="I60" s="279">
        <f t="shared" si="7"/>
        <v>3693.31</v>
      </c>
      <c r="J60" s="279">
        <f t="shared" si="7"/>
        <v>4974.57</v>
      </c>
      <c r="K60" s="279">
        <f t="shared" si="7"/>
        <v>2832.41</v>
      </c>
      <c r="L60" s="279">
        <f t="shared" si="7"/>
        <v>4516.61</v>
      </c>
      <c r="M60" s="279">
        <f t="shared" si="7"/>
        <v>5291.31</v>
      </c>
      <c r="N60" s="279">
        <f t="shared" si="7"/>
        <v>7732.77</v>
      </c>
      <c r="O60" s="279">
        <f t="shared" si="7"/>
        <v>11200.61</v>
      </c>
      <c r="P60" s="280">
        <f t="shared" si="7"/>
        <v>22825.06</v>
      </c>
      <c r="Q60" s="281">
        <f t="shared" si="7"/>
        <v>17759.99721</v>
      </c>
      <c r="R60" s="281">
        <f t="shared" si="7"/>
        <v>14727.27181</v>
      </c>
      <c r="S60" s="281">
        <f t="shared" si="7"/>
        <v>19581.89781</v>
      </c>
      <c r="T60" s="281">
        <f t="shared" si="7"/>
        <v>19463.55103</v>
      </c>
      <c r="U60" s="281">
        <f t="shared" si="7"/>
        <v>13058.77703</v>
      </c>
      <c r="V60" s="281">
        <f t="shared" si="7"/>
        <v>11877.26103</v>
      </c>
      <c r="W60" s="281">
        <f t="shared" si="7"/>
        <v>13583.39007</v>
      </c>
      <c r="X60" s="281">
        <f t="shared" si="7"/>
        <v>13848.61607</v>
      </c>
      <c r="Y60" s="281">
        <f t="shared" si="7"/>
        <v>12333.8956</v>
      </c>
      <c r="Z60" s="281">
        <f t="shared" si="7"/>
        <v>14733.41717</v>
      </c>
      <c r="AA60" s="281">
        <f t="shared" si="7"/>
        <v>14254.7799</v>
      </c>
      <c r="AB60" s="282">
        <f t="shared" si="7"/>
        <v>14139.14262</v>
      </c>
      <c r="AC60" s="194"/>
      <c r="AD60" s="194"/>
      <c r="AE60" s="194"/>
      <c r="AF60" s="194"/>
      <c r="AG60" s="194"/>
      <c r="AH60" s="194"/>
      <c r="AI60" s="194"/>
      <c r="AJ60" s="194"/>
      <c r="AK60" s="194"/>
      <c r="AL60" s="194"/>
    </row>
    <row r="61">
      <c r="A61" s="194"/>
      <c r="B61" s="194"/>
      <c r="C61" s="203"/>
      <c r="D61" s="283" t="s">
        <v>199</v>
      </c>
      <c r="E61" s="284">
        <f t="shared" ref="E61:AB61" si="8">E17-E60</f>
        <v>742.19</v>
      </c>
      <c r="F61" s="284">
        <f t="shared" si="8"/>
        <v>805.19</v>
      </c>
      <c r="G61" s="284">
        <f t="shared" si="8"/>
        <v>1235.26</v>
      </c>
      <c r="H61" s="284">
        <f t="shared" si="8"/>
        <v>513.32</v>
      </c>
      <c r="I61" s="284">
        <f t="shared" si="8"/>
        <v>463.05</v>
      </c>
      <c r="J61" s="284">
        <f t="shared" si="8"/>
        <v>-19.6</v>
      </c>
      <c r="K61" s="284">
        <f t="shared" si="8"/>
        <v>-462.06</v>
      </c>
      <c r="L61" s="284">
        <f t="shared" si="8"/>
        <v>-1349.32</v>
      </c>
      <c r="M61" s="284">
        <f t="shared" si="8"/>
        <v>4049.67</v>
      </c>
      <c r="N61" s="284">
        <f t="shared" si="8"/>
        <v>2459.32</v>
      </c>
      <c r="O61" s="284">
        <f t="shared" si="8"/>
        <v>2104.36</v>
      </c>
      <c r="P61" s="285">
        <f t="shared" si="8"/>
        <v>-8628.16</v>
      </c>
      <c r="Q61" s="284">
        <f t="shared" si="8"/>
        <v>18728.09279</v>
      </c>
      <c r="R61" s="284">
        <f t="shared" si="8"/>
        <v>-4121.201812</v>
      </c>
      <c r="S61" s="284">
        <f t="shared" si="8"/>
        <v>-7304.287812</v>
      </c>
      <c r="T61" s="284">
        <f t="shared" si="8"/>
        <v>-5792.620032</v>
      </c>
      <c r="U61" s="284">
        <f t="shared" si="8"/>
        <v>-452.0460317</v>
      </c>
      <c r="V61" s="284">
        <f t="shared" si="8"/>
        <v>776.3699683</v>
      </c>
      <c r="W61" s="284">
        <f t="shared" si="8"/>
        <v>-736.8870717</v>
      </c>
      <c r="X61" s="284">
        <f t="shared" si="8"/>
        <v>-662.8130717</v>
      </c>
      <c r="Y61" s="284">
        <f t="shared" si="8"/>
        <v>1191.207403</v>
      </c>
      <c r="Z61" s="284">
        <f t="shared" si="8"/>
        <v>-197.8531693</v>
      </c>
      <c r="AA61" s="284">
        <f t="shared" si="8"/>
        <v>-468.4158966</v>
      </c>
      <c r="AB61" s="286">
        <f t="shared" si="8"/>
        <v>-13.47862387</v>
      </c>
      <c r="AC61" s="194"/>
      <c r="AD61" s="194"/>
      <c r="AE61" s="194"/>
      <c r="AF61" s="194"/>
      <c r="AG61" s="194"/>
      <c r="AH61" s="194"/>
      <c r="AI61" s="194"/>
      <c r="AJ61" s="194"/>
      <c r="AK61" s="194"/>
      <c r="AL61" s="194"/>
    </row>
    <row r="62">
      <c r="A62" s="194"/>
      <c r="B62" s="194"/>
      <c r="C62" s="203"/>
      <c r="D62" s="287" t="s">
        <v>200</v>
      </c>
      <c r="E62" s="288">
        <f t="shared" ref="E62:AB62" si="9">E6+E61</f>
        <v>2942.19</v>
      </c>
      <c r="F62" s="288">
        <f t="shared" si="9"/>
        <v>3747.38</v>
      </c>
      <c r="G62" s="288">
        <f t="shared" si="9"/>
        <v>4982.64</v>
      </c>
      <c r="H62" s="288">
        <f t="shared" si="9"/>
        <v>5495.96</v>
      </c>
      <c r="I62" s="288">
        <f t="shared" si="9"/>
        <v>5959.01</v>
      </c>
      <c r="J62" s="288">
        <f t="shared" si="9"/>
        <v>5939.41</v>
      </c>
      <c r="K62" s="288">
        <f t="shared" si="9"/>
        <v>5477.35</v>
      </c>
      <c r="L62" s="288">
        <f t="shared" si="9"/>
        <v>4128.03</v>
      </c>
      <c r="M62" s="288">
        <f t="shared" si="9"/>
        <v>8177.7</v>
      </c>
      <c r="N62" s="288">
        <f t="shared" si="9"/>
        <v>10637.02</v>
      </c>
      <c r="O62" s="288">
        <f t="shared" si="9"/>
        <v>12741.38</v>
      </c>
      <c r="P62" s="289">
        <f t="shared" si="9"/>
        <v>4113.22</v>
      </c>
      <c r="Q62" s="288">
        <f t="shared" si="9"/>
        <v>22841.31279</v>
      </c>
      <c r="R62" s="288">
        <f t="shared" si="9"/>
        <v>18720.11098</v>
      </c>
      <c r="S62" s="288">
        <f t="shared" si="9"/>
        <v>11415.82316</v>
      </c>
      <c r="T62" s="288">
        <f t="shared" si="9"/>
        <v>5623.203133</v>
      </c>
      <c r="U62" s="288">
        <f t="shared" si="9"/>
        <v>5171.157101</v>
      </c>
      <c r="V62" s="288">
        <f t="shared" si="9"/>
        <v>5947.52707</v>
      </c>
      <c r="W62" s="288">
        <f t="shared" si="9"/>
        <v>5210.639998</v>
      </c>
      <c r="X62" s="288">
        <f t="shared" si="9"/>
        <v>4547.826926</v>
      </c>
      <c r="Y62" s="288">
        <f t="shared" si="9"/>
        <v>5739.034329</v>
      </c>
      <c r="Z62" s="288">
        <f t="shared" si="9"/>
        <v>5541.18116</v>
      </c>
      <c r="AA62" s="288">
        <f t="shared" si="9"/>
        <v>5072.765264</v>
      </c>
      <c r="AB62" s="290">
        <f t="shared" si="9"/>
        <v>5059.28664</v>
      </c>
      <c r="AC62" s="194"/>
      <c r="AD62" s="194"/>
      <c r="AE62" s="194"/>
      <c r="AF62" s="194"/>
      <c r="AG62" s="194"/>
      <c r="AH62" s="194"/>
      <c r="AI62" s="194"/>
      <c r="AJ62" s="194"/>
      <c r="AK62" s="194"/>
      <c r="AL62" s="194"/>
    </row>
    <row r="63">
      <c r="A63" s="194"/>
      <c r="B63" s="194"/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6"/>
      <c r="Q63" s="194"/>
      <c r="R63" s="194"/>
      <c r="S63" s="194"/>
      <c r="T63" s="194"/>
      <c r="U63" s="194"/>
      <c r="V63" s="194"/>
      <c r="W63" s="194"/>
      <c r="X63" s="194"/>
      <c r="Y63" s="194"/>
      <c r="Z63" s="194"/>
      <c r="AA63" s="194"/>
      <c r="AB63" s="194"/>
      <c r="AC63" s="194"/>
      <c r="AD63" s="194"/>
      <c r="AE63" s="194"/>
      <c r="AF63" s="194"/>
      <c r="AG63" s="194"/>
      <c r="AH63" s="194"/>
      <c r="AI63" s="194"/>
      <c r="AJ63" s="194"/>
      <c r="AK63" s="194"/>
      <c r="AL63" s="194"/>
    </row>
    <row r="64">
      <c r="A64" s="194"/>
      <c r="B64" s="194"/>
      <c r="C64" s="194"/>
      <c r="D64" s="291" t="s">
        <v>201</v>
      </c>
      <c r="E64" s="291"/>
      <c r="F64" s="291"/>
      <c r="G64" s="291"/>
      <c r="H64" s="291"/>
      <c r="I64" s="291"/>
      <c r="J64" s="291"/>
      <c r="K64" s="291"/>
      <c r="L64" s="291"/>
      <c r="M64" s="291"/>
      <c r="N64" s="291"/>
      <c r="O64" s="291"/>
      <c r="P64" s="292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194"/>
      <c r="AK64" s="194"/>
      <c r="AL64" s="194"/>
    </row>
    <row r="65">
      <c r="A65" s="194"/>
      <c r="B65" s="194"/>
      <c r="C65" s="194"/>
      <c r="D65" s="293" t="s">
        <v>202</v>
      </c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194"/>
      <c r="Z65" s="194"/>
      <c r="AA65" s="194"/>
      <c r="AB65" s="194"/>
      <c r="AC65" s="194"/>
      <c r="AD65" s="194"/>
      <c r="AE65" s="194"/>
      <c r="AF65" s="194"/>
      <c r="AG65" s="194"/>
      <c r="AH65" s="194"/>
      <c r="AI65" s="194"/>
      <c r="AJ65" s="194"/>
      <c r="AK65" s="194"/>
      <c r="AL65" s="194"/>
    </row>
    <row r="66">
      <c r="A66" s="194"/>
      <c r="B66" s="194"/>
      <c r="C66" s="194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6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194"/>
      <c r="AK66" s="194"/>
      <c r="AL66" s="194"/>
    </row>
    <row r="67">
      <c r="A67" s="194"/>
      <c r="B67" s="194"/>
      <c r="C67" s="194"/>
      <c r="D67" s="294" t="s">
        <v>203</v>
      </c>
      <c r="E67" s="294"/>
      <c r="F67" s="294"/>
      <c r="G67" s="294"/>
      <c r="H67" s="294"/>
      <c r="I67" s="294"/>
      <c r="J67" s="294"/>
      <c r="K67" s="294"/>
      <c r="L67" s="294"/>
      <c r="M67" s="294"/>
      <c r="N67" s="294"/>
      <c r="O67" s="294"/>
      <c r="P67" s="295"/>
      <c r="Q67" s="194"/>
      <c r="R67" s="194"/>
      <c r="S67" s="194"/>
      <c r="T67" s="194"/>
      <c r="U67" s="194"/>
      <c r="V67" s="194"/>
      <c r="W67" s="194"/>
      <c r="X67" s="194"/>
      <c r="Y67" s="194"/>
      <c r="Z67" s="194"/>
      <c r="AA67" s="194"/>
      <c r="AB67" s="194"/>
      <c r="AC67" s="194"/>
      <c r="AD67" s="194"/>
      <c r="AE67" s="194"/>
      <c r="AF67" s="194"/>
      <c r="AG67" s="194"/>
      <c r="AH67" s="194"/>
      <c r="AI67" s="194"/>
      <c r="AJ67" s="194"/>
      <c r="AK67" s="194"/>
      <c r="AL67" s="194"/>
    </row>
    <row r="68">
      <c r="A68" s="194"/>
      <c r="B68" s="194"/>
      <c r="C68" s="194"/>
      <c r="D68" s="296" t="s">
        <v>204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194"/>
      <c r="AB68" s="194"/>
      <c r="AC68" s="194"/>
      <c r="AD68" s="194"/>
      <c r="AE68" s="194"/>
      <c r="AF68" s="194"/>
      <c r="AG68" s="194"/>
      <c r="AH68" s="194"/>
      <c r="AI68" s="194"/>
      <c r="AJ68" s="194"/>
      <c r="AK68" s="194"/>
      <c r="AL68" s="194"/>
    </row>
    <row r="69">
      <c r="A69" s="194"/>
      <c r="B69" s="194"/>
      <c r="C69" s="194"/>
      <c r="D69" s="13"/>
      <c r="AA69" s="194"/>
      <c r="AB69" s="194"/>
      <c r="AC69" s="194"/>
      <c r="AD69" s="194"/>
      <c r="AE69" s="194"/>
      <c r="AF69" s="194"/>
      <c r="AG69" s="194"/>
      <c r="AH69" s="194"/>
      <c r="AI69" s="194"/>
      <c r="AJ69" s="194"/>
      <c r="AK69" s="194"/>
      <c r="AL69" s="194"/>
    </row>
    <row r="70">
      <c r="A70" s="194"/>
      <c r="B70" s="194"/>
      <c r="C70" s="194"/>
      <c r="D70" s="1"/>
      <c r="Y70" s="194"/>
      <c r="Z70" s="194"/>
      <c r="AA70" s="194"/>
      <c r="AB70" s="194"/>
      <c r="AC70" s="194"/>
      <c r="AD70" s="194"/>
      <c r="AE70" s="194"/>
      <c r="AF70" s="194"/>
      <c r="AG70" s="194"/>
      <c r="AH70" s="194"/>
      <c r="AI70" s="194"/>
      <c r="AJ70" s="194"/>
      <c r="AK70" s="194"/>
      <c r="AL70" s="194"/>
    </row>
    <row r="71">
      <c r="A71" s="194"/>
      <c r="B71" s="194"/>
      <c r="C71" s="194"/>
      <c r="D71" s="297" t="s">
        <v>205</v>
      </c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194"/>
      <c r="AB71" s="194"/>
      <c r="AC71" s="194"/>
      <c r="AD71" s="194"/>
      <c r="AE71" s="194"/>
      <c r="AF71" s="194"/>
      <c r="AG71" s="194"/>
      <c r="AH71" s="194"/>
      <c r="AI71" s="194"/>
      <c r="AJ71" s="194"/>
      <c r="AK71" s="194"/>
      <c r="AL71" s="194"/>
    </row>
    <row r="72">
      <c r="A72" s="1"/>
      <c r="X72" s="194"/>
      <c r="Y72" s="194"/>
      <c r="Z72" s="194"/>
      <c r="AA72" s="194"/>
      <c r="AB72" s="194"/>
      <c r="AC72" s="194"/>
      <c r="AD72" s="194"/>
      <c r="AE72" s="194"/>
      <c r="AF72" s="194"/>
      <c r="AG72" s="194"/>
      <c r="AH72" s="194"/>
      <c r="AI72" s="194"/>
      <c r="AJ72" s="194"/>
      <c r="AK72" s="194"/>
      <c r="AL72" s="1"/>
    </row>
    <row r="73">
      <c r="A73" s="194"/>
      <c r="B73" s="194"/>
      <c r="C73" s="194"/>
      <c r="D73" s="298" t="s">
        <v>206</v>
      </c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194"/>
      <c r="Z73" s="194"/>
      <c r="AA73" s="194"/>
      <c r="AB73" s="194"/>
      <c r="AC73" s="194"/>
      <c r="AD73" s="194"/>
      <c r="AE73" s="194"/>
      <c r="AF73" s="194"/>
      <c r="AG73" s="194"/>
      <c r="AH73" s="194"/>
      <c r="AI73" s="194"/>
      <c r="AJ73" s="194"/>
      <c r="AK73" s="194"/>
      <c r="AL73" s="194"/>
    </row>
    <row r="74">
      <c r="A74" s="194"/>
      <c r="B74" s="194"/>
      <c r="C74" s="194"/>
      <c r="D74" s="1"/>
      <c r="Y74" s="194"/>
      <c r="Z74" s="194"/>
      <c r="AA74" s="194"/>
      <c r="AB74" s="194"/>
      <c r="AC74" s="194"/>
      <c r="AD74" s="194"/>
      <c r="AE74" s="194"/>
      <c r="AF74" s="194"/>
      <c r="AG74" s="194"/>
      <c r="AH74" s="194"/>
      <c r="AI74" s="194"/>
      <c r="AJ74" s="194"/>
      <c r="AK74" s="194"/>
      <c r="AL74" s="194"/>
    </row>
    <row r="75">
      <c r="A75" s="194"/>
      <c r="B75" s="194"/>
      <c r="C75" s="194"/>
      <c r="D75" s="194"/>
      <c r="E75" s="194"/>
      <c r="F75" s="194"/>
      <c r="G75" s="194"/>
      <c r="H75" s="194"/>
      <c r="I75" s="194"/>
      <c r="J75" s="194"/>
      <c r="K75" s="194"/>
      <c r="L75" s="194"/>
      <c r="M75" s="194"/>
      <c r="N75" s="194"/>
      <c r="O75" s="194"/>
      <c r="P75" s="196"/>
      <c r="Q75" s="194"/>
      <c r="R75" s="194"/>
      <c r="S75" s="194"/>
      <c r="T75" s="194"/>
      <c r="U75" s="194"/>
      <c r="V75" s="194"/>
      <c r="W75" s="194"/>
      <c r="X75" s="194"/>
      <c r="Y75" s="194"/>
      <c r="Z75" s="194"/>
      <c r="AA75" s="299"/>
      <c r="AB75" s="194"/>
      <c r="AC75" s="194"/>
      <c r="AD75" s="194"/>
      <c r="AE75" s="194"/>
      <c r="AF75" s="194"/>
      <c r="AG75" s="194"/>
      <c r="AH75" s="194"/>
      <c r="AI75" s="194"/>
      <c r="AJ75" s="194"/>
      <c r="AK75" s="194"/>
      <c r="AL75" s="194"/>
    </row>
    <row r="76">
      <c r="A76" s="194"/>
      <c r="B76" s="194"/>
      <c r="C76" s="299"/>
      <c r="D76" s="1"/>
      <c r="Y76" s="194"/>
      <c r="Z76" s="194"/>
      <c r="AA76" s="194"/>
      <c r="AB76" s="194"/>
      <c r="AC76" s="194"/>
      <c r="AD76" s="194"/>
      <c r="AE76" s="194"/>
      <c r="AF76" s="194"/>
      <c r="AG76" s="194"/>
      <c r="AH76" s="194"/>
      <c r="AI76" s="194"/>
      <c r="AJ76" s="194"/>
      <c r="AK76" s="194"/>
      <c r="AL76" s="194"/>
    </row>
    <row r="77">
      <c r="A77" s="194"/>
      <c r="B77" s="194"/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6"/>
      <c r="Q77" s="194"/>
      <c r="R77" s="194"/>
      <c r="S77" s="194"/>
      <c r="T77" s="194"/>
      <c r="U77" s="194"/>
      <c r="V77" s="194"/>
      <c r="W77" s="194"/>
      <c r="X77" s="194"/>
      <c r="Y77" s="194"/>
      <c r="Z77" s="194"/>
      <c r="AA77" s="299"/>
      <c r="AB77" s="194"/>
      <c r="AC77" s="194"/>
      <c r="AD77" s="194"/>
      <c r="AE77" s="194"/>
      <c r="AF77" s="194"/>
      <c r="AG77" s="194"/>
      <c r="AH77" s="194"/>
      <c r="AI77" s="194"/>
      <c r="AJ77" s="194"/>
      <c r="AK77" s="194"/>
      <c r="AL77" s="194"/>
    </row>
    <row r="78">
      <c r="A78" s="194"/>
      <c r="B78" s="194"/>
      <c r="C78" s="299"/>
      <c r="D78" s="194"/>
      <c r="E78" s="194"/>
      <c r="F78" s="194"/>
      <c r="G78" s="194"/>
      <c r="H78" s="194"/>
      <c r="I78" s="194"/>
      <c r="J78" s="194"/>
      <c r="K78" s="194"/>
      <c r="L78" s="194"/>
      <c r="M78" s="194"/>
      <c r="N78" s="194"/>
      <c r="O78" s="194"/>
      <c r="P78" s="196"/>
      <c r="Q78" s="194"/>
      <c r="R78" s="194"/>
      <c r="S78" s="194"/>
      <c r="T78" s="194"/>
      <c r="U78" s="194"/>
      <c r="V78" s="194"/>
      <c r="W78" s="194"/>
      <c r="X78" s="194"/>
      <c r="Y78" s="194"/>
      <c r="Z78" s="194"/>
      <c r="AA78" s="194"/>
      <c r="AB78" s="194"/>
      <c r="AC78" s="194"/>
      <c r="AD78" s="194"/>
      <c r="AE78" s="194"/>
      <c r="AF78" s="194"/>
      <c r="AG78" s="194"/>
      <c r="AH78" s="194"/>
      <c r="AI78" s="194"/>
      <c r="AJ78" s="194"/>
      <c r="AK78" s="194"/>
      <c r="AL78" s="194"/>
    </row>
    <row r="79">
      <c r="A79" s="194"/>
      <c r="B79" s="194"/>
      <c r="C79" s="194"/>
      <c r="D79" s="194"/>
      <c r="E79" s="194"/>
      <c r="F79" s="194"/>
      <c r="G79" s="194"/>
      <c r="H79" s="194"/>
      <c r="I79" s="194"/>
      <c r="J79" s="194"/>
      <c r="K79" s="194"/>
      <c r="L79" s="194"/>
      <c r="M79" s="194"/>
      <c r="N79" s="194"/>
      <c r="O79" s="194"/>
      <c r="P79" s="196"/>
      <c r="Q79" s="194"/>
      <c r="R79" s="194"/>
      <c r="S79" s="194"/>
      <c r="T79" s="194"/>
      <c r="U79" s="194"/>
      <c r="V79" s="194"/>
      <c r="W79" s="194"/>
      <c r="X79" s="194"/>
      <c r="Y79" s="194"/>
      <c r="Z79" s="194"/>
      <c r="AA79" s="194"/>
      <c r="AB79" s="194"/>
      <c r="AC79" s="194"/>
      <c r="AD79" s="194"/>
      <c r="AE79" s="194"/>
      <c r="AF79" s="194"/>
      <c r="AG79" s="194"/>
      <c r="AH79" s="194"/>
      <c r="AI79" s="194"/>
      <c r="AJ79" s="194"/>
      <c r="AK79" s="194"/>
      <c r="AL79" s="194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300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300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</sheetData>
  <mergeCells count="41">
    <mergeCell ref="D73:X73"/>
    <mergeCell ref="A72:W72"/>
    <mergeCell ref="D74:X74"/>
    <mergeCell ref="D76:X76"/>
    <mergeCell ref="D70:X70"/>
    <mergeCell ref="D65:X65"/>
    <mergeCell ref="D68:Z69"/>
    <mergeCell ref="D71:Z71"/>
    <mergeCell ref="K4:K5"/>
    <mergeCell ref="E4:E5"/>
    <mergeCell ref="F4:F5"/>
    <mergeCell ref="G4:G5"/>
    <mergeCell ref="H4:H5"/>
    <mergeCell ref="I4:I5"/>
    <mergeCell ref="J4:J5"/>
    <mergeCell ref="Q19:AB20"/>
    <mergeCell ref="Q45:AB45"/>
    <mergeCell ref="T4:T5"/>
    <mergeCell ref="U4:U5"/>
    <mergeCell ref="Y4:Y5"/>
    <mergeCell ref="Q1:AB1"/>
    <mergeCell ref="V4:V5"/>
    <mergeCell ref="R4:R5"/>
    <mergeCell ref="Q4:Q5"/>
    <mergeCell ref="AA4:AA5"/>
    <mergeCell ref="AB4:AB5"/>
    <mergeCell ref="W4:W5"/>
    <mergeCell ref="Z4:Z5"/>
    <mergeCell ref="X4:X5"/>
    <mergeCell ref="Q18:AB18"/>
    <mergeCell ref="Q7:AB8"/>
    <mergeCell ref="N4:N5"/>
    <mergeCell ref="M4:M5"/>
    <mergeCell ref="L4:L5"/>
    <mergeCell ref="E7:P8"/>
    <mergeCell ref="S4:S5"/>
    <mergeCell ref="E18:P18"/>
    <mergeCell ref="E19:P20"/>
    <mergeCell ref="E45:P45"/>
    <mergeCell ref="O4:O5"/>
    <mergeCell ref="P4:P5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1.22" defaultRowHeight="15.0"/>
  <cols>
    <col customWidth="1" hidden="1" min="1" max="2" width="7.67"/>
    <col customWidth="1" min="3" max="3" width="6.67"/>
    <col customWidth="1" min="4" max="4" width="27.22"/>
    <col customWidth="1" min="5" max="5" width="10.67"/>
    <col customWidth="1" min="6" max="17" width="12.11"/>
    <col customWidth="1" min="18" max="18" width="72.11"/>
    <col customWidth="1" min="19" max="28" width="7.67"/>
  </cols>
  <sheetData>
    <row r="1" ht="41.25" customHeight="1">
      <c r="A1" s="4"/>
      <c r="B1" s="4"/>
      <c r="C1" s="6"/>
      <c r="D1" s="24" t="s">
        <v>2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8"/>
      <c r="R1" s="4"/>
      <c r="S1" s="1"/>
      <c r="T1" s="1"/>
      <c r="U1" s="1"/>
      <c r="V1" s="1"/>
      <c r="W1" s="1"/>
      <c r="X1" s="1"/>
      <c r="Y1" s="1"/>
      <c r="Z1" s="1"/>
      <c r="AA1" s="1"/>
      <c r="AB1" s="1"/>
    </row>
    <row r="2" ht="13.5" customHeight="1">
      <c r="A2" s="26" t="s">
        <v>12</v>
      </c>
      <c r="B2" s="28" t="s">
        <v>13</v>
      </c>
      <c r="C2" s="30"/>
      <c r="D2" s="32"/>
      <c r="E2" s="34" t="s">
        <v>14</v>
      </c>
      <c r="F2" s="35">
        <v>42370.0</v>
      </c>
      <c r="G2" s="35">
        <v>42401.0</v>
      </c>
      <c r="H2" s="35">
        <v>42430.0</v>
      </c>
      <c r="I2" s="35">
        <v>42461.0</v>
      </c>
      <c r="J2" s="35">
        <v>42491.0</v>
      </c>
      <c r="K2" s="35">
        <v>42522.0</v>
      </c>
      <c r="L2" s="35">
        <v>42552.0</v>
      </c>
      <c r="M2" s="35">
        <v>42583.0</v>
      </c>
      <c r="N2" s="35">
        <v>42614.0</v>
      </c>
      <c r="O2" s="35">
        <v>42644.0</v>
      </c>
      <c r="P2" s="35">
        <v>42675.0</v>
      </c>
      <c r="Q2" s="37">
        <v>42705.0</v>
      </c>
      <c r="R2" s="252" t="s">
        <v>155</v>
      </c>
      <c r="S2" s="1"/>
      <c r="T2" s="1"/>
      <c r="U2" s="1"/>
      <c r="V2" s="1"/>
      <c r="W2" s="1"/>
      <c r="X2" s="1"/>
      <c r="Y2" s="1"/>
      <c r="Z2" s="1"/>
      <c r="AA2" s="1"/>
      <c r="AB2" s="1"/>
    </row>
    <row r="3" ht="13.5" customHeight="1">
      <c r="A3" s="1"/>
      <c r="B3" s="1"/>
      <c r="C3" s="1"/>
      <c r="D3" s="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"/>
      <c r="S3" s="1"/>
      <c r="T3" s="1"/>
      <c r="U3" s="1"/>
      <c r="V3" s="1"/>
      <c r="W3" s="1"/>
      <c r="X3" s="1"/>
      <c r="Y3" s="1"/>
      <c r="Z3" s="1"/>
      <c r="AA3" s="1"/>
      <c r="AB3" s="1"/>
    </row>
    <row r="4" ht="13.5" customHeight="1">
      <c r="A4" s="1"/>
      <c r="B4" s="1"/>
      <c r="C4" s="41"/>
      <c r="D4" s="48" t="s">
        <v>22</v>
      </c>
      <c r="E4" s="50">
        <f>+SUM(E5:E8)</f>
        <v>76175.98</v>
      </c>
      <c r="F4" s="52">
        <f t="shared" ref="F4:Q4" si="1">SUM(F5:F8)</f>
        <v>2868.48</v>
      </c>
      <c r="G4" s="52">
        <f t="shared" si="1"/>
        <v>3498.98</v>
      </c>
      <c r="H4" s="52">
        <f t="shared" si="1"/>
        <v>4001.25</v>
      </c>
      <c r="I4" s="52">
        <f t="shared" si="1"/>
        <v>4123.36</v>
      </c>
      <c r="J4" s="52">
        <f t="shared" si="1"/>
        <v>4156.36</v>
      </c>
      <c r="K4" s="52">
        <f t="shared" si="1"/>
        <v>4954.97</v>
      </c>
      <c r="L4" s="52">
        <f t="shared" si="1"/>
        <v>2370.35</v>
      </c>
      <c r="M4" s="52">
        <f t="shared" si="1"/>
        <v>3167.29</v>
      </c>
      <c r="N4" s="52">
        <f t="shared" si="1"/>
        <v>9340.98</v>
      </c>
      <c r="O4" s="52">
        <f t="shared" si="1"/>
        <v>10192.09</v>
      </c>
      <c r="P4" s="52">
        <f t="shared" si="1"/>
        <v>13304.97</v>
      </c>
      <c r="Q4" s="54">
        <f t="shared" si="1"/>
        <v>14196.9</v>
      </c>
      <c r="R4" s="4"/>
      <c r="S4" s="1"/>
      <c r="T4" s="1"/>
      <c r="U4" s="1"/>
      <c r="V4" s="1"/>
      <c r="W4" s="1"/>
      <c r="X4" s="1"/>
      <c r="Y4" s="1"/>
      <c r="Z4" s="1"/>
      <c r="AA4" s="1"/>
      <c r="AB4" s="1"/>
    </row>
    <row r="5" ht="13.5" customHeight="1">
      <c r="A5" s="1"/>
      <c r="B5" s="1"/>
      <c r="C5" s="56">
        <v>707.0</v>
      </c>
      <c r="D5" s="58" t="s">
        <v>23</v>
      </c>
      <c r="E5" s="60">
        <f t="shared" ref="E5:E8" si="2">+SUM(F5:Q5)</f>
        <v>56481.18</v>
      </c>
      <c r="F5" s="62">
        <v>2608.48</v>
      </c>
      <c r="G5" s="62">
        <v>2513.98</v>
      </c>
      <c r="H5" s="62">
        <v>3156.25</v>
      </c>
      <c r="I5" s="62">
        <v>3298.36</v>
      </c>
      <c r="J5" s="62">
        <v>3691.36</v>
      </c>
      <c r="K5" s="62">
        <v>4474.97</v>
      </c>
      <c r="L5" s="62">
        <v>2165.35</v>
      </c>
      <c r="M5" s="62">
        <v>2912.29</v>
      </c>
      <c r="N5" s="62">
        <v>5720.98</v>
      </c>
      <c r="O5" s="62">
        <v>5947.19</v>
      </c>
      <c r="P5" s="62">
        <v>8590.02</v>
      </c>
      <c r="Q5" s="64">
        <v>11401.95</v>
      </c>
      <c r="R5" s="4"/>
      <c r="S5" s="1"/>
      <c r="T5" s="1"/>
      <c r="U5" s="1"/>
      <c r="V5" s="1"/>
      <c r="W5" s="1"/>
      <c r="X5" s="1"/>
      <c r="Y5" s="1"/>
      <c r="Z5" s="1"/>
      <c r="AA5" s="1"/>
      <c r="AB5" s="1"/>
    </row>
    <row r="6" ht="13.5" customHeight="1">
      <c r="A6" s="1"/>
      <c r="B6" s="1"/>
      <c r="C6" s="56">
        <v>756.0</v>
      </c>
      <c r="D6" s="66" t="s">
        <v>25</v>
      </c>
      <c r="E6" s="60">
        <f t="shared" si="2"/>
        <v>11380</v>
      </c>
      <c r="F6" s="62">
        <v>260.0</v>
      </c>
      <c r="G6" s="62">
        <v>940.0</v>
      </c>
      <c r="H6" s="62">
        <v>805.0</v>
      </c>
      <c r="I6" s="62">
        <v>735.0</v>
      </c>
      <c r="J6" s="62">
        <v>415.0</v>
      </c>
      <c r="K6" s="62">
        <v>435.0</v>
      </c>
      <c r="L6" s="62">
        <v>205.0</v>
      </c>
      <c r="M6" s="62">
        <v>235.0</v>
      </c>
      <c r="N6" s="62">
        <v>1115.0</v>
      </c>
      <c r="O6" s="62">
        <v>1580.0</v>
      </c>
      <c r="P6" s="62">
        <v>3210.0</v>
      </c>
      <c r="Q6" s="64">
        <v>1445.0</v>
      </c>
      <c r="R6" s="4"/>
      <c r="S6" s="1"/>
      <c r="T6" s="1"/>
      <c r="U6" s="1"/>
      <c r="V6" s="1"/>
      <c r="W6" s="1"/>
      <c r="X6" s="1"/>
      <c r="Y6" s="1"/>
      <c r="Z6" s="1"/>
      <c r="AA6" s="1"/>
      <c r="AB6" s="1"/>
    </row>
    <row r="7" ht="13.5" customHeight="1">
      <c r="A7" s="1"/>
      <c r="B7" s="1"/>
      <c r="C7" s="56">
        <v>7561.0</v>
      </c>
      <c r="D7" s="66" t="s">
        <v>26</v>
      </c>
      <c r="E7" s="60">
        <f t="shared" si="2"/>
        <v>635</v>
      </c>
      <c r="F7" s="62">
        <v>0.0</v>
      </c>
      <c r="G7" s="62">
        <v>45.0</v>
      </c>
      <c r="H7" s="62">
        <v>40.0</v>
      </c>
      <c r="I7" s="62">
        <v>90.0</v>
      </c>
      <c r="J7" s="62">
        <v>50.0</v>
      </c>
      <c r="K7" s="62">
        <v>45.0</v>
      </c>
      <c r="L7" s="62">
        <v>0.0</v>
      </c>
      <c r="M7" s="62">
        <v>20.0</v>
      </c>
      <c r="N7" s="62">
        <v>105.0</v>
      </c>
      <c r="O7" s="62">
        <v>25.0</v>
      </c>
      <c r="P7" s="62">
        <v>185.0</v>
      </c>
      <c r="Q7" s="64">
        <v>30.0</v>
      </c>
      <c r="R7" s="4"/>
      <c r="S7" s="1"/>
      <c r="T7" s="1"/>
      <c r="U7" s="1"/>
      <c r="V7" s="1"/>
      <c r="W7" s="1"/>
      <c r="X7" s="1"/>
      <c r="Y7" s="1"/>
      <c r="Z7" s="1"/>
      <c r="AA7" s="1"/>
      <c r="AB7" s="1"/>
    </row>
    <row r="8" ht="13.5" customHeight="1">
      <c r="A8" s="1"/>
      <c r="B8" s="1"/>
      <c r="C8" s="56">
        <v>74.0</v>
      </c>
      <c r="D8" s="69" t="s">
        <v>28</v>
      </c>
      <c r="E8" s="70">
        <f t="shared" si="2"/>
        <v>7679.8</v>
      </c>
      <c r="F8" s="71"/>
      <c r="G8" s="71"/>
      <c r="H8" s="71"/>
      <c r="I8" s="71"/>
      <c r="J8" s="71"/>
      <c r="K8" s="71"/>
      <c r="L8" s="71"/>
      <c r="M8" s="71"/>
      <c r="N8" s="62">
        <v>2400.0</v>
      </c>
      <c r="O8" s="62">
        <v>2639.9</v>
      </c>
      <c r="P8" s="62">
        <v>1319.95</v>
      </c>
      <c r="Q8" s="64">
        <v>1319.95</v>
      </c>
      <c r="R8" s="4"/>
      <c r="S8" s="1"/>
      <c r="T8" s="1"/>
      <c r="U8" s="1"/>
      <c r="V8" s="1"/>
      <c r="W8" s="1"/>
      <c r="X8" s="1"/>
      <c r="Y8" s="1"/>
      <c r="Z8" s="1"/>
      <c r="AA8" s="1"/>
      <c r="AB8" s="1"/>
    </row>
    <row r="9" ht="13.5" customHeight="1">
      <c r="A9" s="1"/>
      <c r="B9" s="41"/>
      <c r="C9" s="41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4"/>
      <c r="S9" s="1"/>
      <c r="T9" s="1"/>
      <c r="U9" s="1"/>
      <c r="V9" s="1"/>
      <c r="W9" s="1"/>
      <c r="X9" s="1"/>
      <c r="Y9" s="1"/>
      <c r="Z9" s="1"/>
      <c r="AA9" s="1"/>
      <c r="AB9" s="1"/>
    </row>
    <row r="10" ht="13.5" customHeight="1">
      <c r="A10" s="1"/>
      <c r="B10" s="1"/>
      <c r="C10" s="41"/>
      <c r="D10" s="48" t="s">
        <v>29</v>
      </c>
      <c r="E10" s="77">
        <f>+SUM(E13:E30)</f>
        <v>66909.03</v>
      </c>
      <c r="F10" s="80">
        <f t="shared" ref="F10:Q10" si="3">SUM(F11:F30)</f>
        <v>2126.29</v>
      </c>
      <c r="G10" s="80">
        <f t="shared" si="3"/>
        <v>2693.79</v>
      </c>
      <c r="H10" s="80">
        <f t="shared" si="3"/>
        <v>2765.99</v>
      </c>
      <c r="I10" s="80">
        <f t="shared" si="3"/>
        <v>3610.04</v>
      </c>
      <c r="J10" s="80">
        <f t="shared" si="3"/>
        <v>3693.31</v>
      </c>
      <c r="K10" s="80">
        <f t="shared" si="3"/>
        <v>4974.57</v>
      </c>
      <c r="L10" s="80">
        <f t="shared" si="3"/>
        <v>2832.41</v>
      </c>
      <c r="M10" s="80">
        <f t="shared" si="3"/>
        <v>4516.61</v>
      </c>
      <c r="N10" s="80">
        <f t="shared" si="3"/>
        <v>5291.31</v>
      </c>
      <c r="O10" s="80">
        <f t="shared" si="3"/>
        <v>7732.77</v>
      </c>
      <c r="P10" s="80">
        <f t="shared" si="3"/>
        <v>11200.61</v>
      </c>
      <c r="Q10" s="83">
        <f t="shared" si="3"/>
        <v>22879.97</v>
      </c>
      <c r="R10" s="4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ht="13.5" customHeight="1">
      <c r="A11" s="1"/>
      <c r="B11" s="1"/>
      <c r="C11" s="56">
        <v>213.0</v>
      </c>
      <c r="D11" s="86" t="s">
        <v>36</v>
      </c>
      <c r="E11" s="88">
        <f t="shared" ref="E11:E30" si="4">+SUM(F11:Q11)</f>
        <v>0</v>
      </c>
      <c r="F11" s="62">
        <v>0.0</v>
      </c>
      <c r="G11" s="62">
        <v>0.0</v>
      </c>
      <c r="H11" s="62">
        <v>0.0</v>
      </c>
      <c r="I11" s="62">
        <v>0.0</v>
      </c>
      <c r="J11" s="62">
        <v>0.0</v>
      </c>
      <c r="K11" s="62">
        <v>0.0</v>
      </c>
      <c r="L11" s="62">
        <v>0.0</v>
      </c>
      <c r="M11" s="62">
        <v>0.0</v>
      </c>
      <c r="N11" s="62">
        <v>0.0</v>
      </c>
      <c r="O11" s="62">
        <v>0.0</v>
      </c>
      <c r="P11" s="62">
        <v>0.0</v>
      </c>
      <c r="Q11" s="64">
        <v>0.0</v>
      </c>
      <c r="R11" s="4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ht="13.5" customHeight="1">
      <c r="A12" s="1"/>
      <c r="B12" s="1"/>
      <c r="C12" s="56">
        <v>2184.0</v>
      </c>
      <c r="D12" s="86" t="s">
        <v>37</v>
      </c>
      <c r="E12" s="88">
        <f t="shared" si="4"/>
        <v>7408.64</v>
      </c>
      <c r="F12" s="62">
        <v>0.0</v>
      </c>
      <c r="G12" s="62">
        <v>0.0</v>
      </c>
      <c r="H12" s="62">
        <v>0.0</v>
      </c>
      <c r="I12" s="62">
        <v>0.0</v>
      </c>
      <c r="J12" s="62">
        <v>0.0</v>
      </c>
      <c r="K12" s="62">
        <v>0.0</v>
      </c>
      <c r="L12" s="62">
        <v>0.0</v>
      </c>
      <c r="M12" s="62">
        <v>0.0</v>
      </c>
      <c r="N12" s="62">
        <v>0.0</v>
      </c>
      <c r="O12" s="62">
        <v>0.0</v>
      </c>
      <c r="P12" s="62">
        <v>327.88</v>
      </c>
      <c r="Q12" s="64">
        <v>7080.76</v>
      </c>
      <c r="R12" s="4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ht="13.5" customHeight="1">
      <c r="A13" s="1"/>
      <c r="B13" s="1"/>
      <c r="C13" s="56">
        <v>2755.0</v>
      </c>
      <c r="D13" s="66" t="s">
        <v>38</v>
      </c>
      <c r="E13" s="88">
        <f t="shared" si="4"/>
        <v>650</v>
      </c>
      <c r="F13" s="62">
        <v>0.0</v>
      </c>
      <c r="G13" s="93">
        <v>0.0</v>
      </c>
      <c r="H13" s="62">
        <v>0.0</v>
      </c>
      <c r="I13" s="62">
        <v>0.0</v>
      </c>
      <c r="J13" s="62">
        <v>0.0</v>
      </c>
      <c r="K13" s="62">
        <v>650.0</v>
      </c>
      <c r="L13" s="62">
        <v>0.0</v>
      </c>
      <c r="M13" s="62">
        <v>0.0</v>
      </c>
      <c r="N13" s="62">
        <v>0.0</v>
      </c>
      <c r="O13" s="62">
        <v>0.0</v>
      </c>
      <c r="P13" s="62">
        <v>0.0</v>
      </c>
      <c r="Q13" s="64">
        <v>0.0</v>
      </c>
      <c r="R13" s="4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ht="13.5" customHeight="1">
      <c r="A14" s="1"/>
      <c r="B14" s="1"/>
      <c r="C14" s="56">
        <v>447.0</v>
      </c>
      <c r="D14" s="66" t="s">
        <v>39</v>
      </c>
      <c r="E14" s="60">
        <f t="shared" si="4"/>
        <v>0</v>
      </c>
      <c r="F14" s="62">
        <v>0.0</v>
      </c>
      <c r="G14" s="62">
        <v>0.0</v>
      </c>
      <c r="H14" s="62">
        <v>0.0</v>
      </c>
      <c r="I14" s="62">
        <v>0.0</v>
      </c>
      <c r="J14" s="62">
        <v>0.0</v>
      </c>
      <c r="K14" s="62">
        <v>0.0</v>
      </c>
      <c r="L14" s="62">
        <v>0.0</v>
      </c>
      <c r="M14" s="62">
        <v>0.0</v>
      </c>
      <c r="N14" s="62">
        <v>0.0</v>
      </c>
      <c r="O14" s="62">
        <v>0.0</v>
      </c>
      <c r="P14" s="62">
        <v>0.0</v>
      </c>
      <c r="Q14" s="64">
        <v>0.0</v>
      </c>
      <c r="R14" s="4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ht="13.5" customHeight="1">
      <c r="A15" s="1"/>
      <c r="B15" s="1"/>
      <c r="C15" s="56">
        <v>604.0</v>
      </c>
      <c r="D15" s="66" t="s">
        <v>40</v>
      </c>
      <c r="E15" s="60">
        <f t="shared" si="4"/>
        <v>231.2</v>
      </c>
      <c r="F15" s="62">
        <v>0.0</v>
      </c>
      <c r="G15" s="62">
        <v>0.0</v>
      </c>
      <c r="H15" s="62">
        <v>0.0</v>
      </c>
      <c r="I15" s="62">
        <v>0.0</v>
      </c>
      <c r="J15" s="62">
        <v>0.0</v>
      </c>
      <c r="K15" s="62">
        <v>0.0</v>
      </c>
      <c r="L15" s="62">
        <v>0.0</v>
      </c>
      <c r="M15" s="62">
        <v>0.0</v>
      </c>
      <c r="N15" s="62">
        <v>0.0</v>
      </c>
      <c r="O15" s="62">
        <v>109.4</v>
      </c>
      <c r="P15" s="62">
        <v>121.8</v>
      </c>
      <c r="Q15" s="64">
        <v>0.0</v>
      </c>
      <c r="R15" s="4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ht="13.5" customHeight="1">
      <c r="A16" s="1"/>
      <c r="B16" s="1"/>
      <c r="C16" s="56">
        <v>60612.0</v>
      </c>
      <c r="D16" s="66" t="s">
        <v>42</v>
      </c>
      <c r="E16" s="60">
        <f t="shared" si="4"/>
        <v>496.19</v>
      </c>
      <c r="F16" s="62">
        <v>0.0</v>
      </c>
      <c r="G16" s="62">
        <v>0.0</v>
      </c>
      <c r="H16" s="62">
        <v>0.0</v>
      </c>
      <c r="I16" s="62">
        <v>0.0</v>
      </c>
      <c r="J16" s="62">
        <v>0.0</v>
      </c>
      <c r="K16" s="62">
        <v>0.0</v>
      </c>
      <c r="L16" s="62">
        <v>0.0</v>
      </c>
      <c r="M16" s="62">
        <v>94.06</v>
      </c>
      <c r="N16" s="62">
        <v>0.0</v>
      </c>
      <c r="O16" s="62">
        <v>272.02</v>
      </c>
      <c r="P16" s="62">
        <v>0.0</v>
      </c>
      <c r="Q16" s="64">
        <v>130.11</v>
      </c>
      <c r="R16" s="4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ht="13.5" customHeight="1">
      <c r="A17" s="97"/>
      <c r="B17" s="97"/>
      <c r="C17" s="56">
        <v>60611.0</v>
      </c>
      <c r="D17" s="66" t="s">
        <v>44</v>
      </c>
      <c r="E17" s="60">
        <f t="shared" si="4"/>
        <v>54.91</v>
      </c>
      <c r="F17" s="62">
        <v>0.0</v>
      </c>
      <c r="G17" s="62">
        <v>0.0</v>
      </c>
      <c r="H17" s="62">
        <v>0.0</v>
      </c>
      <c r="I17" s="62">
        <v>0.0</v>
      </c>
      <c r="J17" s="62">
        <v>0.0</v>
      </c>
      <c r="K17" s="62">
        <v>0.0</v>
      </c>
      <c r="L17" s="62">
        <v>0.0</v>
      </c>
      <c r="M17" s="62">
        <v>0.0</v>
      </c>
      <c r="N17" s="62">
        <v>0.0</v>
      </c>
      <c r="O17" s="62">
        <v>0.0</v>
      </c>
      <c r="P17" s="62">
        <v>0.0</v>
      </c>
      <c r="Q17" s="64">
        <v>54.91</v>
      </c>
      <c r="R17" s="4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ht="13.5" customHeight="1">
      <c r="A18" s="97"/>
      <c r="B18" s="97"/>
      <c r="C18" s="56">
        <v>6064.0</v>
      </c>
      <c r="D18" s="66" t="s">
        <v>45</v>
      </c>
      <c r="E18" s="60">
        <f t="shared" si="4"/>
        <v>257.99</v>
      </c>
      <c r="F18" s="62">
        <v>22.95</v>
      </c>
      <c r="G18" s="62">
        <v>0.0</v>
      </c>
      <c r="H18" s="62">
        <v>0.0</v>
      </c>
      <c r="I18" s="62">
        <v>0.0</v>
      </c>
      <c r="J18" s="62">
        <v>95.69</v>
      </c>
      <c r="K18" s="62">
        <v>19.29</v>
      </c>
      <c r="L18" s="62">
        <v>0.0</v>
      </c>
      <c r="M18" s="62">
        <v>45.0</v>
      </c>
      <c r="N18" s="62">
        <v>40.0</v>
      </c>
      <c r="O18" s="62">
        <v>0.0</v>
      </c>
      <c r="P18" s="62">
        <v>35.06</v>
      </c>
      <c r="Q18" s="64">
        <v>0.0</v>
      </c>
      <c r="R18" s="4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ht="13.5" customHeight="1">
      <c r="A19" s="1"/>
      <c r="B19" s="1"/>
      <c r="C19" s="56">
        <v>607.0</v>
      </c>
      <c r="D19" s="58" t="s">
        <v>46</v>
      </c>
      <c r="E19" s="60">
        <f t="shared" si="4"/>
        <v>50108.64</v>
      </c>
      <c r="F19" s="62">
        <v>2052.17</v>
      </c>
      <c r="G19" s="62">
        <v>2632.85</v>
      </c>
      <c r="H19" s="62">
        <v>2718.69</v>
      </c>
      <c r="I19" s="62">
        <v>3501.68</v>
      </c>
      <c r="J19" s="62">
        <v>3254.84</v>
      </c>
      <c r="K19" s="62">
        <v>3496.88</v>
      </c>
      <c r="L19" s="62">
        <v>1901.82</v>
      </c>
      <c r="M19" s="62">
        <v>2222.31</v>
      </c>
      <c r="N19" s="62">
        <v>4826.15</v>
      </c>
      <c r="O19" s="62">
        <v>5957.03</v>
      </c>
      <c r="P19" s="62">
        <v>7142.99</v>
      </c>
      <c r="Q19" s="64">
        <v>10401.23</v>
      </c>
      <c r="R19" s="4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ht="13.5" customHeight="1">
      <c r="A20" s="1"/>
      <c r="B20" s="1"/>
      <c r="C20" s="56">
        <v>6132.0</v>
      </c>
      <c r="D20" s="66" t="s">
        <v>47</v>
      </c>
      <c r="E20" s="60">
        <f t="shared" si="4"/>
        <v>4815</v>
      </c>
      <c r="F20" s="62">
        <v>0.0</v>
      </c>
      <c r="G20" s="62">
        <v>0.0</v>
      </c>
      <c r="H20" s="62">
        <v>0.0</v>
      </c>
      <c r="I20" s="62">
        <v>0.0</v>
      </c>
      <c r="J20" s="62">
        <v>250.0</v>
      </c>
      <c r="K20" s="62">
        <v>665.0</v>
      </c>
      <c r="L20" s="62">
        <v>0.0</v>
      </c>
      <c r="M20" s="62">
        <v>1950.0</v>
      </c>
      <c r="N20" s="62">
        <v>0.0</v>
      </c>
      <c r="O20" s="62">
        <v>0.0</v>
      </c>
      <c r="P20" s="62">
        <v>1950.0</v>
      </c>
      <c r="Q20" s="64">
        <v>0.0</v>
      </c>
      <c r="R20" s="4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ht="13.5" customHeight="1">
      <c r="A21" s="1"/>
      <c r="B21" s="1"/>
      <c r="C21" s="56">
        <v>6152.0</v>
      </c>
      <c r="D21" s="66" t="s">
        <v>48</v>
      </c>
      <c r="E21" s="60">
        <f t="shared" si="4"/>
        <v>972.11</v>
      </c>
      <c r="F21" s="62">
        <v>0.0</v>
      </c>
      <c r="G21" s="62">
        <v>0.0</v>
      </c>
      <c r="H21" s="62">
        <v>0.0</v>
      </c>
      <c r="I21" s="62">
        <v>0.0</v>
      </c>
      <c r="J21" s="62">
        <v>0.0</v>
      </c>
      <c r="K21" s="62">
        <v>57.75</v>
      </c>
      <c r="L21" s="62">
        <v>572.06</v>
      </c>
      <c r="M21" s="62">
        <v>58.2</v>
      </c>
      <c r="N21" s="62">
        <v>144.64</v>
      </c>
      <c r="O21" s="62">
        <v>94.13</v>
      </c>
      <c r="P21" s="62">
        <v>26.07</v>
      </c>
      <c r="Q21" s="64">
        <v>19.26</v>
      </c>
      <c r="R21" s="4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ht="13.5" customHeight="1">
      <c r="A22" s="1"/>
      <c r="B22" s="1"/>
      <c r="C22" s="56">
        <v>616.0</v>
      </c>
      <c r="D22" s="66" t="s">
        <v>49</v>
      </c>
      <c r="E22" s="60">
        <f t="shared" si="4"/>
        <v>173.08</v>
      </c>
      <c r="F22" s="62">
        <v>0.0</v>
      </c>
      <c r="G22" s="62">
        <v>0.0</v>
      </c>
      <c r="H22" s="62">
        <v>0.0</v>
      </c>
      <c r="I22" s="62">
        <v>0.0</v>
      </c>
      <c r="J22" s="62">
        <v>0.0</v>
      </c>
      <c r="K22" s="62">
        <v>0.0</v>
      </c>
      <c r="L22" s="62">
        <v>173.08</v>
      </c>
      <c r="M22" s="62">
        <v>0.0</v>
      </c>
      <c r="N22" s="62">
        <v>0.0</v>
      </c>
      <c r="O22" s="62">
        <v>0.0</v>
      </c>
      <c r="P22" s="62">
        <v>0.0</v>
      </c>
      <c r="Q22" s="64">
        <v>0.0</v>
      </c>
      <c r="R22" s="4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ht="13.5" customHeight="1">
      <c r="A23" s="1"/>
      <c r="B23" s="1"/>
      <c r="C23" s="56">
        <v>6227.0</v>
      </c>
      <c r="D23" s="66" t="s">
        <v>51</v>
      </c>
      <c r="E23" s="60">
        <f t="shared" si="4"/>
        <v>0</v>
      </c>
      <c r="F23" s="62">
        <v>0.0</v>
      </c>
      <c r="G23" s="62">
        <v>0.0</v>
      </c>
      <c r="H23" s="62">
        <v>0.0</v>
      </c>
      <c r="I23" s="62">
        <v>0.0</v>
      </c>
      <c r="J23" s="62">
        <v>0.0</v>
      </c>
      <c r="K23" s="62">
        <v>0.0</v>
      </c>
      <c r="L23" s="62">
        <v>0.0</v>
      </c>
      <c r="M23" s="62">
        <v>0.0</v>
      </c>
      <c r="N23" s="62">
        <v>0.0</v>
      </c>
      <c r="O23" s="62">
        <v>0.0</v>
      </c>
      <c r="P23" s="62">
        <v>0.0</v>
      </c>
      <c r="Q23" s="64">
        <v>0.0</v>
      </c>
      <c r="R23" s="4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ht="13.5" customHeight="1">
      <c r="A24" s="1"/>
      <c r="B24" s="1"/>
      <c r="C24" s="56">
        <v>6251.0</v>
      </c>
      <c r="D24" s="66" t="s">
        <v>52</v>
      </c>
      <c r="E24" s="60">
        <f t="shared" si="4"/>
        <v>576.19</v>
      </c>
      <c r="F24" s="62">
        <v>23.4</v>
      </c>
      <c r="G24" s="62">
        <v>40.0</v>
      </c>
      <c r="H24" s="62">
        <v>40.0</v>
      </c>
      <c r="I24" s="62">
        <v>62.0</v>
      </c>
      <c r="J24" s="62">
        <v>50.0</v>
      </c>
      <c r="K24" s="62">
        <v>60.0</v>
      </c>
      <c r="L24" s="62">
        <v>0.0</v>
      </c>
      <c r="M24" s="62">
        <v>51.0</v>
      </c>
      <c r="N24" s="62">
        <v>112.01</v>
      </c>
      <c r="O24" s="62">
        <v>60.0</v>
      </c>
      <c r="P24" s="62">
        <v>47.78</v>
      </c>
      <c r="Q24" s="64">
        <v>30.0</v>
      </c>
      <c r="R24" s="4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ht="13.5" customHeight="1">
      <c r="A25" s="1"/>
      <c r="B25" s="1"/>
      <c r="C25" s="56">
        <v>626.0</v>
      </c>
      <c r="D25" s="66" t="s">
        <v>53</v>
      </c>
      <c r="E25" s="60">
        <f t="shared" si="4"/>
        <v>230.02</v>
      </c>
      <c r="F25" s="62">
        <v>0.0</v>
      </c>
      <c r="G25" s="62">
        <v>0.0</v>
      </c>
      <c r="H25" s="62">
        <v>0.0</v>
      </c>
      <c r="I25" s="62">
        <v>26.8</v>
      </c>
      <c r="J25" s="62">
        <v>0.0</v>
      </c>
      <c r="K25" s="62">
        <v>0.0</v>
      </c>
      <c r="L25" s="62">
        <v>78.15</v>
      </c>
      <c r="M25" s="62">
        <v>17.99</v>
      </c>
      <c r="N25" s="62">
        <v>17.99</v>
      </c>
      <c r="O25" s="62">
        <v>11.79</v>
      </c>
      <c r="P25" s="62">
        <v>59.31</v>
      </c>
      <c r="Q25" s="64">
        <v>17.99</v>
      </c>
      <c r="R25" s="4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ht="13.5" customHeight="1">
      <c r="A26" s="1"/>
      <c r="B26" s="1"/>
      <c r="C26" s="56">
        <v>627.0</v>
      </c>
      <c r="D26" s="66" t="s">
        <v>50</v>
      </c>
      <c r="E26" s="60">
        <f t="shared" si="4"/>
        <v>204.15</v>
      </c>
      <c r="F26" s="71">
        <v>17.77</v>
      </c>
      <c r="G26" s="71">
        <v>7.3</v>
      </c>
      <c r="H26" s="71">
        <v>7.3</v>
      </c>
      <c r="I26" s="71">
        <v>19.56</v>
      </c>
      <c r="J26" s="71">
        <v>13.06</v>
      </c>
      <c r="K26" s="71">
        <v>25.65</v>
      </c>
      <c r="L26" s="71">
        <v>7.3</v>
      </c>
      <c r="M26" s="71">
        <v>7.3</v>
      </c>
      <c r="N26" s="62">
        <v>24.19</v>
      </c>
      <c r="O26" s="62">
        <v>7.3</v>
      </c>
      <c r="P26" s="62">
        <v>7.3</v>
      </c>
      <c r="Q26" s="64">
        <v>60.12</v>
      </c>
      <c r="R26" s="4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ht="13.5" customHeight="1">
      <c r="A27" s="1"/>
      <c r="B27" s="1"/>
      <c r="C27" s="56">
        <v>6411.0</v>
      </c>
      <c r="D27" s="66" t="s">
        <v>54</v>
      </c>
      <c r="E27" s="60">
        <f t="shared" si="4"/>
        <v>3370.26</v>
      </c>
      <c r="F27" s="62">
        <v>0.0</v>
      </c>
      <c r="G27" s="62">
        <v>0.0</v>
      </c>
      <c r="H27" s="62">
        <v>0.0</v>
      </c>
      <c r="I27" s="62">
        <v>0.0</v>
      </c>
      <c r="J27" s="62">
        <v>0.0</v>
      </c>
      <c r="K27" s="62">
        <v>0.0</v>
      </c>
      <c r="L27" s="62">
        <v>0.0</v>
      </c>
      <c r="M27" s="62">
        <v>0.0</v>
      </c>
      <c r="N27" s="62">
        <v>0.0</v>
      </c>
      <c r="O27" s="62">
        <v>1123.42</v>
      </c>
      <c r="P27" s="62">
        <v>1123.42</v>
      </c>
      <c r="Q27" s="64">
        <v>1123.42</v>
      </c>
      <c r="R27" s="4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ht="13.5" customHeight="1">
      <c r="A28" s="1"/>
      <c r="B28" s="1"/>
      <c r="C28" s="56">
        <v>6451.0</v>
      </c>
      <c r="D28" s="66" t="s">
        <v>55</v>
      </c>
      <c r="E28" s="60">
        <f t="shared" si="4"/>
        <v>359</v>
      </c>
      <c r="F28" s="62"/>
      <c r="G28" s="62"/>
      <c r="H28" s="62"/>
      <c r="I28" s="62"/>
      <c r="J28" s="62"/>
      <c r="K28" s="62"/>
      <c r="L28" s="62"/>
      <c r="M28" s="62"/>
      <c r="N28" s="62">
        <v>0.0</v>
      </c>
      <c r="O28" s="62">
        <v>0.0</v>
      </c>
      <c r="P28" s="62">
        <v>359.0</v>
      </c>
      <c r="Q28" s="64">
        <v>0.0</v>
      </c>
      <c r="R28" s="4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ht="16.5" customHeight="1">
      <c r="A29" s="1"/>
      <c r="B29" s="1"/>
      <c r="C29" s="56">
        <v>651.0</v>
      </c>
      <c r="D29" s="66" t="s">
        <v>56</v>
      </c>
      <c r="E29" s="60">
        <f t="shared" si="4"/>
        <v>113.33</v>
      </c>
      <c r="F29" s="62">
        <v>0.0</v>
      </c>
      <c r="G29" s="62">
        <v>13.64</v>
      </c>
      <c r="H29" s="62">
        <v>0.0</v>
      </c>
      <c r="I29" s="62">
        <v>0.0</v>
      </c>
      <c r="J29" s="62">
        <v>29.72</v>
      </c>
      <c r="K29" s="62">
        <v>0.0</v>
      </c>
      <c r="L29" s="62">
        <v>0.0</v>
      </c>
      <c r="M29" s="62">
        <v>0.0</v>
      </c>
      <c r="N29" s="62">
        <v>59.72</v>
      </c>
      <c r="O29" s="62">
        <v>0.0</v>
      </c>
      <c r="P29" s="62">
        <v>0.0</v>
      </c>
      <c r="Q29" s="64">
        <v>10.25</v>
      </c>
      <c r="R29" s="4"/>
      <c r="S29" s="97"/>
      <c r="T29" s="97"/>
      <c r="U29" s="1"/>
      <c r="V29" s="1"/>
      <c r="W29" s="1"/>
      <c r="X29" s="1"/>
      <c r="Y29" s="1"/>
      <c r="Z29" s="1"/>
      <c r="AA29" s="1"/>
      <c r="AB29" s="1"/>
    </row>
    <row r="30" ht="16.5" customHeight="1">
      <c r="A30" s="1"/>
      <c r="B30" s="1"/>
      <c r="C30" s="56">
        <v>6713.0</v>
      </c>
      <c r="D30" s="66" t="s">
        <v>57</v>
      </c>
      <c r="E30" s="60">
        <f t="shared" si="4"/>
        <v>4296.96</v>
      </c>
      <c r="F30" s="62">
        <v>10.0</v>
      </c>
      <c r="G30" s="62">
        <v>0.0</v>
      </c>
      <c r="H30" s="62">
        <v>0.0</v>
      </c>
      <c r="I30" s="62">
        <v>0.0</v>
      </c>
      <c r="J30" s="62">
        <v>0.0</v>
      </c>
      <c r="K30" s="62">
        <v>0.0</v>
      </c>
      <c r="L30" s="62">
        <v>100.0</v>
      </c>
      <c r="M30" s="62">
        <v>70.75</v>
      </c>
      <c r="N30" s="62">
        <v>66.61</v>
      </c>
      <c r="O30" s="62">
        <v>97.68</v>
      </c>
      <c r="P30" s="62">
        <v>0.0</v>
      </c>
      <c r="Q30" s="64">
        <v>3951.92</v>
      </c>
      <c r="R30" s="4"/>
      <c r="S30" s="97"/>
      <c r="T30" s="97"/>
      <c r="U30" s="1"/>
      <c r="V30" s="1"/>
      <c r="W30" s="1"/>
      <c r="X30" s="1"/>
      <c r="Y30" s="1"/>
      <c r="Z30" s="1"/>
      <c r="AA30" s="1"/>
      <c r="AB30" s="1"/>
    </row>
    <row r="31" ht="16.5" customHeight="1">
      <c r="A31" s="1"/>
      <c r="B31" s="1"/>
      <c r="C31" s="41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4"/>
      <c r="S31" s="97"/>
      <c r="T31" s="97"/>
      <c r="U31" s="1"/>
      <c r="V31" s="1"/>
      <c r="W31" s="1"/>
      <c r="X31" s="1"/>
      <c r="Y31" s="1"/>
      <c r="Z31" s="1"/>
      <c r="AA31" s="1"/>
      <c r="AB31" s="1"/>
    </row>
    <row r="32" ht="16.5" customHeight="1">
      <c r="A32" s="1"/>
      <c r="B32" s="1"/>
      <c r="C32" s="41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4"/>
      <c r="S32" s="97"/>
      <c r="T32" s="97"/>
      <c r="U32" s="97"/>
      <c r="V32" s="97"/>
      <c r="W32" s="97"/>
      <c r="X32" s="97"/>
      <c r="Y32" s="97"/>
      <c r="Z32" s="97"/>
      <c r="AA32" s="97"/>
      <c r="AB32" s="97"/>
    </row>
    <row r="33" ht="18.0" customHeight="1">
      <c r="A33" s="1"/>
      <c r="B33" s="1"/>
      <c r="C33" s="104">
        <v>40.0</v>
      </c>
      <c r="D33" s="105" t="s">
        <v>60</v>
      </c>
      <c r="E33" s="60">
        <f>SUM(F33:Q33)</f>
        <v>1544.29</v>
      </c>
      <c r="F33" s="107">
        <v>0.0</v>
      </c>
      <c r="G33" s="107">
        <v>0.0</v>
      </c>
      <c r="H33" s="107">
        <v>0.0</v>
      </c>
      <c r="I33" s="107">
        <v>0.0</v>
      </c>
      <c r="J33" s="107">
        <v>0.0</v>
      </c>
      <c r="K33" s="107">
        <v>0.0</v>
      </c>
      <c r="L33" s="107">
        <v>0.0</v>
      </c>
      <c r="M33" s="107">
        <v>0.0</v>
      </c>
      <c r="N33" s="107">
        <v>0.0</v>
      </c>
      <c r="O33" s="107">
        <v>0.0</v>
      </c>
      <c r="P33" s="107">
        <v>511.74</v>
      </c>
      <c r="Q33" s="108">
        <v>1032.55</v>
      </c>
      <c r="R33" s="109"/>
      <c r="S33" s="97"/>
      <c r="T33" s="97"/>
      <c r="U33" s="97"/>
      <c r="V33" s="97"/>
      <c r="W33" s="97"/>
      <c r="X33" s="97"/>
      <c r="Y33" s="97"/>
      <c r="Z33" s="97"/>
      <c r="AA33" s="97"/>
      <c r="AB33" s="97"/>
    </row>
    <row r="34" ht="18.0" customHeight="1">
      <c r="A34" s="1"/>
      <c r="B34" s="1"/>
      <c r="C34" s="110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2"/>
      <c r="R34" s="113"/>
      <c r="S34" s="97"/>
      <c r="T34" s="97"/>
      <c r="U34" s="97"/>
      <c r="V34" s="97"/>
      <c r="W34" s="97"/>
      <c r="X34" s="97"/>
      <c r="Y34" s="97"/>
      <c r="Z34" s="97"/>
      <c r="AA34" s="97"/>
      <c r="AB34" s="97"/>
    </row>
    <row r="35" ht="18.0" customHeight="1">
      <c r="A35" s="1"/>
      <c r="B35" s="1"/>
      <c r="C35" s="114">
        <v>6037.0</v>
      </c>
      <c r="D35" s="115" t="s">
        <v>67</v>
      </c>
      <c r="E35" s="116"/>
      <c r="F35" s="107">
        <v>396.65</v>
      </c>
      <c r="G35" s="107">
        <v>396.65</v>
      </c>
      <c r="H35" s="107">
        <v>681.44</v>
      </c>
      <c r="I35" s="107">
        <v>429.85</v>
      </c>
      <c r="J35" s="107">
        <v>750.96</v>
      </c>
      <c r="K35" s="107">
        <v>1131.99</v>
      </c>
      <c r="L35" s="107">
        <v>1571.02</v>
      </c>
      <c r="M35" s="107">
        <v>1743.24</v>
      </c>
      <c r="N35" s="107">
        <v>1900.0</v>
      </c>
      <c r="O35" s="107">
        <v>2653.0</v>
      </c>
      <c r="P35" s="107">
        <v>1524.47</v>
      </c>
      <c r="Q35" s="108">
        <v>3039.28</v>
      </c>
      <c r="R35" s="117"/>
      <c r="S35" s="97"/>
      <c r="T35" s="97"/>
      <c r="U35" s="97"/>
      <c r="V35" s="97"/>
      <c r="W35" s="97"/>
      <c r="X35" s="97"/>
      <c r="Y35" s="97"/>
      <c r="Z35" s="97"/>
      <c r="AA35" s="97"/>
      <c r="AB35" s="97"/>
    </row>
    <row r="36" ht="18.0" customHeight="1">
      <c r="A36" s="1"/>
      <c r="B36" s="1"/>
      <c r="C36" s="119"/>
      <c r="D36" s="115" t="s">
        <v>71</v>
      </c>
      <c r="E36" s="60">
        <f t="shared" ref="E36:E37" si="5">SUM(F36:Q36)</f>
        <v>5402.87</v>
      </c>
      <c r="F36" s="107">
        <v>0.0</v>
      </c>
      <c r="G36" s="107">
        <v>0.0</v>
      </c>
      <c r="H36" s="107">
        <v>284.79</v>
      </c>
      <c r="I36" s="107">
        <v>251.59</v>
      </c>
      <c r="J36" s="107">
        <v>321.11</v>
      </c>
      <c r="K36" s="107">
        <v>381.03</v>
      </c>
      <c r="L36" s="107">
        <v>439.03</v>
      </c>
      <c r="M36" s="107">
        <v>172.22</v>
      </c>
      <c r="N36" s="107">
        <v>156.76</v>
      </c>
      <c r="O36" s="107">
        <v>753.0</v>
      </c>
      <c r="P36" s="107">
        <v>1128.53</v>
      </c>
      <c r="Q36" s="108">
        <v>1514.81</v>
      </c>
      <c r="R36" s="109"/>
      <c r="S36" s="97"/>
      <c r="T36" s="97"/>
      <c r="U36" s="97"/>
      <c r="V36" s="97"/>
      <c r="W36" s="97"/>
      <c r="X36" s="97"/>
      <c r="Y36" s="97"/>
      <c r="Z36" s="97"/>
      <c r="AA36" s="97"/>
      <c r="AB36" s="97"/>
    </row>
    <row r="37" ht="18.0" customHeight="1">
      <c r="A37" s="1"/>
      <c r="B37" s="1"/>
      <c r="C37" s="119"/>
      <c r="D37" s="115" t="s">
        <v>73</v>
      </c>
      <c r="E37" s="60">
        <f t="shared" si="5"/>
        <v>10162.73</v>
      </c>
      <c r="F37" s="107">
        <v>556.31</v>
      </c>
      <c r="G37" s="107">
        <v>118.87</v>
      </c>
      <c r="H37" s="107">
        <v>722.35</v>
      </c>
      <c r="I37" s="107">
        <v>454.91</v>
      </c>
      <c r="J37" s="107">
        <v>757.63</v>
      </c>
      <c r="K37" s="107">
        <v>1359.12</v>
      </c>
      <c r="L37" s="107">
        <v>702.56</v>
      </c>
      <c r="M37" s="107">
        <v>862.2</v>
      </c>
      <c r="N37" s="107">
        <v>1051.59</v>
      </c>
      <c r="O37" s="107">
        <v>743.16</v>
      </c>
      <c r="P37" s="107">
        <v>318.5</v>
      </c>
      <c r="Q37" s="108">
        <v>2515.53</v>
      </c>
      <c r="R37" s="109"/>
      <c r="S37" s="97"/>
      <c r="T37" s="97"/>
      <c r="U37" s="97"/>
      <c r="V37" s="97"/>
      <c r="W37" s="97"/>
      <c r="X37" s="97"/>
      <c r="Y37" s="97"/>
      <c r="Z37" s="97"/>
      <c r="AA37" s="97"/>
      <c r="AB37" s="97"/>
    </row>
    <row r="38" ht="18.0" customHeight="1">
      <c r="A38" s="1"/>
      <c r="B38" s="1"/>
      <c r="C38" s="122"/>
      <c r="D38" s="115" t="s">
        <v>74</v>
      </c>
      <c r="E38" s="123">
        <f>E37/(E5+E36)</f>
        <v>0.1642221219</v>
      </c>
      <c r="F38" s="124">
        <v>0.21</v>
      </c>
      <c r="G38" s="124">
        <v>-0.05</v>
      </c>
      <c r="H38" s="124">
        <v>0.21</v>
      </c>
      <c r="I38" s="124">
        <v>-0.15</v>
      </c>
      <c r="J38" s="124">
        <v>0.19</v>
      </c>
      <c r="K38" s="124">
        <v>0.28</v>
      </c>
      <c r="L38" s="124">
        <v>0.27</v>
      </c>
      <c r="M38" s="124">
        <v>0.28</v>
      </c>
      <c r="N38" s="124">
        <v>0.18</v>
      </c>
      <c r="O38" s="124">
        <v>0.11</v>
      </c>
      <c r="P38" s="124">
        <v>0.04</v>
      </c>
      <c r="Q38" s="125">
        <v>0.19</v>
      </c>
      <c r="R38" s="117"/>
      <c r="S38" s="97"/>
      <c r="T38" s="97"/>
      <c r="U38" s="97"/>
      <c r="V38" s="97"/>
      <c r="W38" s="97"/>
      <c r="X38" s="97"/>
      <c r="Y38" s="97"/>
      <c r="Z38" s="97"/>
      <c r="AA38" s="97"/>
      <c r="AB38" s="97"/>
    </row>
    <row r="39" ht="18.0" customHeight="1">
      <c r="A39" s="1"/>
      <c r="B39" s="1"/>
      <c r="C39" s="41"/>
      <c r="D39" s="126"/>
      <c r="E39" s="127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4"/>
      <c r="S39" s="97"/>
      <c r="T39" s="97"/>
      <c r="U39" s="97"/>
      <c r="V39" s="97"/>
      <c r="W39" s="97"/>
      <c r="X39" s="97"/>
      <c r="Y39" s="97"/>
      <c r="Z39" s="97"/>
      <c r="AA39" s="97"/>
      <c r="AB39" s="97"/>
    </row>
    <row r="40" ht="13.5" customHeight="1">
      <c r="A40" s="48" t="s">
        <v>29</v>
      </c>
      <c r="B40" s="128">
        <f>+SUM(D40:U40)</f>
        <v>11125.26</v>
      </c>
      <c r="C40" s="41"/>
      <c r="D40" s="129" t="s">
        <v>81</v>
      </c>
      <c r="E40" s="130">
        <f t="shared" ref="E40:Q40" si="6">+SUM(E4-E10)</f>
        <v>9266.95</v>
      </c>
      <c r="F40" s="130">
        <f t="shared" si="6"/>
        <v>742.19</v>
      </c>
      <c r="G40" s="130">
        <f t="shared" si="6"/>
        <v>805.19</v>
      </c>
      <c r="H40" s="130">
        <f t="shared" si="6"/>
        <v>1235.26</v>
      </c>
      <c r="I40" s="130">
        <f t="shared" si="6"/>
        <v>513.32</v>
      </c>
      <c r="J40" s="130">
        <f t="shared" si="6"/>
        <v>463.05</v>
      </c>
      <c r="K40" s="130">
        <f t="shared" si="6"/>
        <v>-19.6</v>
      </c>
      <c r="L40" s="130">
        <f t="shared" si="6"/>
        <v>-462.06</v>
      </c>
      <c r="M40" s="130">
        <f t="shared" si="6"/>
        <v>-1349.32</v>
      </c>
      <c r="N40" s="130">
        <f t="shared" si="6"/>
        <v>4049.67</v>
      </c>
      <c r="O40" s="130">
        <f t="shared" si="6"/>
        <v>2459.32</v>
      </c>
      <c r="P40" s="130">
        <f t="shared" si="6"/>
        <v>2104.36</v>
      </c>
      <c r="Q40" s="132">
        <f t="shared" si="6"/>
        <v>-8683.07</v>
      </c>
      <c r="R40" s="4"/>
      <c r="S40" s="97"/>
      <c r="T40" s="97"/>
      <c r="U40" s="97"/>
      <c r="V40" s="97"/>
      <c r="W40" s="97"/>
      <c r="X40" s="97"/>
      <c r="Y40" s="97"/>
      <c r="Z40" s="97"/>
      <c r="AA40" s="97"/>
      <c r="AB40" s="97"/>
    </row>
    <row r="41" ht="13.5" customHeight="1">
      <c r="A41" s="97"/>
      <c r="B41" s="97"/>
      <c r="C41" s="41"/>
      <c r="D41" s="134" t="s">
        <v>82</v>
      </c>
      <c r="E41" s="130">
        <v>2200.0</v>
      </c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4"/>
      <c r="S41" s="97"/>
      <c r="T41" s="97"/>
      <c r="U41" s="97"/>
      <c r="V41" s="97"/>
      <c r="W41" s="97"/>
      <c r="X41" s="97"/>
      <c r="Y41" s="97"/>
      <c r="Z41" s="97"/>
      <c r="AA41" s="97"/>
      <c r="AB41" s="97"/>
    </row>
    <row r="42" ht="16.5" customHeight="1">
      <c r="A42" s="1"/>
      <c r="B42" s="1"/>
      <c r="C42" s="41"/>
      <c r="D42" s="137" t="s">
        <v>85</v>
      </c>
      <c r="E42" s="138">
        <v>3727.0</v>
      </c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4"/>
      <c r="S42" s="97"/>
      <c r="T42" s="97"/>
      <c r="U42" s="97"/>
      <c r="V42" s="97"/>
      <c r="W42" s="97"/>
      <c r="X42" s="97"/>
      <c r="Y42" s="97"/>
      <c r="Z42" s="97"/>
      <c r="AA42" s="97"/>
      <c r="AB42" s="97"/>
    </row>
    <row r="43" ht="18.0" customHeight="1">
      <c r="A43" s="1"/>
      <c r="B43" s="1"/>
      <c r="C43" s="41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4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ht="18.0" customHeight="1">
      <c r="A44" s="1"/>
      <c r="B44" s="1"/>
      <c r="C44" s="41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4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ht="18.0" customHeight="1">
      <c r="A45" s="1"/>
      <c r="B45" s="1"/>
      <c r="C45" s="41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4"/>
      <c r="S45" s="97"/>
      <c r="T45" s="97"/>
      <c r="U45" s="97"/>
      <c r="V45" s="97"/>
      <c r="W45" s="97"/>
      <c r="X45" s="97"/>
      <c r="Y45" s="97"/>
      <c r="Z45" s="97"/>
      <c r="AA45" s="97"/>
      <c r="AB45" s="97"/>
    </row>
    <row r="46" ht="41.25" customHeight="1">
      <c r="A46" s="4"/>
      <c r="B46" s="4"/>
      <c r="C46" s="41"/>
      <c r="D46" s="24" t="s">
        <v>86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4"/>
      <c r="S46" s="97"/>
      <c r="T46" s="97"/>
      <c r="U46" s="97"/>
      <c r="V46" s="97"/>
      <c r="W46" s="97"/>
      <c r="X46" s="97"/>
      <c r="Y46" s="97"/>
      <c r="Z46" s="97"/>
      <c r="AA46" s="97"/>
      <c r="AB46" s="97"/>
    </row>
    <row r="47">
      <c r="A47" s="97"/>
      <c r="B47" s="97"/>
      <c r="C47" s="41"/>
      <c r="D47" s="139"/>
      <c r="E47" s="140" t="s">
        <v>14</v>
      </c>
      <c r="F47" s="141">
        <v>42736.0</v>
      </c>
      <c r="G47" s="141">
        <v>42767.0</v>
      </c>
      <c r="H47" s="141">
        <v>42795.0</v>
      </c>
      <c r="I47" s="141">
        <v>42826.0</v>
      </c>
      <c r="J47" s="141">
        <v>42856.0</v>
      </c>
      <c r="K47" s="141">
        <v>42887.0</v>
      </c>
      <c r="L47" s="141">
        <v>42917.0</v>
      </c>
      <c r="M47" s="141">
        <v>42948.0</v>
      </c>
      <c r="N47" s="141">
        <v>42979.0</v>
      </c>
      <c r="O47" s="141">
        <v>43009.0</v>
      </c>
      <c r="P47" s="141">
        <v>43040.0</v>
      </c>
      <c r="Q47" s="142">
        <v>43070.0</v>
      </c>
      <c r="R47" s="4"/>
      <c r="S47" s="97"/>
      <c r="T47" s="97"/>
      <c r="U47" s="97"/>
      <c r="V47" s="97"/>
      <c r="W47" s="97"/>
      <c r="X47" s="97"/>
      <c r="Y47" s="97"/>
      <c r="Z47" s="97"/>
      <c r="AA47" s="97"/>
      <c r="AB47" s="97"/>
    </row>
    <row r="48" ht="13.5" customHeight="1">
      <c r="A48" s="97"/>
      <c r="B48" s="97"/>
      <c r="C48" s="41"/>
      <c r="D48" s="48" t="s">
        <v>22</v>
      </c>
      <c r="E48" s="143">
        <f>+SUM(E49:E52)</f>
        <v>233865.13</v>
      </c>
      <c r="F48" s="80">
        <f t="shared" ref="F48:Q48" si="7">SUM(F49:F52)</f>
        <v>36488.09</v>
      </c>
      <c r="G48" s="80">
        <f t="shared" si="7"/>
        <v>17976.54</v>
      </c>
      <c r="H48" s="80">
        <f t="shared" si="7"/>
        <v>19308.78</v>
      </c>
      <c r="I48" s="80">
        <f t="shared" si="7"/>
        <v>20712.28</v>
      </c>
      <c r="J48" s="80">
        <f t="shared" si="7"/>
        <v>19308.78</v>
      </c>
      <c r="K48" s="80">
        <f t="shared" si="7"/>
        <v>19129.48</v>
      </c>
      <c r="L48" s="80">
        <f t="shared" si="7"/>
        <v>11308.78</v>
      </c>
      <c r="M48" s="80">
        <f t="shared" si="7"/>
        <v>11308.78</v>
      </c>
      <c r="N48" s="80">
        <f t="shared" si="7"/>
        <v>19308.78</v>
      </c>
      <c r="O48" s="80">
        <f t="shared" si="7"/>
        <v>20397.28</v>
      </c>
      <c r="P48" s="80">
        <f t="shared" si="7"/>
        <v>19308.78</v>
      </c>
      <c r="Q48" s="83">
        <f t="shared" si="7"/>
        <v>19308.78</v>
      </c>
      <c r="R48" s="4"/>
      <c r="S48" s="97"/>
      <c r="T48" s="97"/>
      <c r="U48" s="97"/>
      <c r="V48" s="97"/>
      <c r="W48" s="97"/>
      <c r="X48" s="97"/>
      <c r="Y48" s="97"/>
      <c r="Z48" s="97"/>
      <c r="AA48" s="97"/>
      <c r="AB48" s="97"/>
    </row>
    <row r="49" ht="13.5" customHeight="1">
      <c r="A49" s="97"/>
      <c r="B49" s="97"/>
      <c r="C49" s="56">
        <v>707.0</v>
      </c>
      <c r="D49" s="58" t="s">
        <v>23</v>
      </c>
      <c r="E49" s="60">
        <f t="shared" ref="E49:E52" si="10">+SUM(F49:W49)</f>
        <v>169467.85</v>
      </c>
      <c r="F49" s="62">
        <v>9467.85</v>
      </c>
      <c r="G49" s="144">
        <f t="shared" ref="G49:K49" si="8">16000</f>
        <v>16000</v>
      </c>
      <c r="H49" s="144">
        <f t="shared" si="8"/>
        <v>16000</v>
      </c>
      <c r="I49" s="144">
        <f t="shared" si="8"/>
        <v>16000</v>
      </c>
      <c r="J49" s="144">
        <f t="shared" si="8"/>
        <v>16000</v>
      </c>
      <c r="K49" s="144">
        <f t="shared" si="8"/>
        <v>16000</v>
      </c>
      <c r="L49" s="144">
        <f>8000</f>
        <v>8000</v>
      </c>
      <c r="M49" s="144">
        <v>8000.0</v>
      </c>
      <c r="N49" s="144">
        <f t="shared" ref="N49:Q49" si="9">16000</f>
        <v>16000</v>
      </c>
      <c r="O49" s="144">
        <f t="shared" si="9"/>
        <v>16000</v>
      </c>
      <c r="P49" s="144">
        <f t="shared" si="9"/>
        <v>16000</v>
      </c>
      <c r="Q49" s="144">
        <f t="shared" si="9"/>
        <v>16000</v>
      </c>
      <c r="R49" s="4"/>
      <c r="S49" s="97"/>
      <c r="T49" s="97"/>
      <c r="U49" s="97"/>
      <c r="V49" s="97"/>
      <c r="W49" s="97"/>
      <c r="X49" s="97"/>
      <c r="Y49" s="97"/>
      <c r="Z49" s="97"/>
      <c r="AA49" s="97"/>
      <c r="AB49" s="97"/>
    </row>
    <row r="50" ht="13.5" customHeight="1">
      <c r="A50" s="97"/>
      <c r="B50" s="97"/>
      <c r="C50" s="56">
        <v>756.0</v>
      </c>
      <c r="D50" s="66" t="s">
        <v>25</v>
      </c>
      <c r="E50" s="60">
        <f t="shared" si="10"/>
        <v>11195</v>
      </c>
      <c r="F50" s="62">
        <v>2510.0</v>
      </c>
      <c r="G50" s="144">
        <f t="shared" ref="G50:H50" si="11">30*19.31</f>
        <v>579.3</v>
      </c>
      <c r="H50" s="144">
        <f t="shared" si="11"/>
        <v>579.3</v>
      </c>
      <c r="I50" s="144">
        <f>30*19.31+(F6+G6+H6)*0.7</f>
        <v>1982.8</v>
      </c>
      <c r="J50" s="144">
        <f>30*19.31</f>
        <v>579.3</v>
      </c>
      <c r="K50" s="144">
        <v>400.0</v>
      </c>
      <c r="L50" s="144">
        <f t="shared" ref="L50:N50" si="12">30*19.31</f>
        <v>579.3</v>
      </c>
      <c r="M50" s="144">
        <f t="shared" si="12"/>
        <v>579.3</v>
      </c>
      <c r="N50" s="144">
        <f t="shared" si="12"/>
        <v>579.3</v>
      </c>
      <c r="O50" s="144">
        <f>30*19.31+(L6+M6+N6)*0.7</f>
        <v>1667.8</v>
      </c>
      <c r="P50" s="144">
        <f t="shared" ref="P50:Q50" si="13">30*19.31</f>
        <v>579.3</v>
      </c>
      <c r="Q50" s="145">
        <f t="shared" si="13"/>
        <v>579.3</v>
      </c>
      <c r="R50" s="4"/>
      <c r="S50" s="97"/>
      <c r="T50" s="97"/>
      <c r="U50" s="97"/>
      <c r="V50" s="97"/>
      <c r="W50" s="97"/>
      <c r="X50" s="97"/>
      <c r="Y50" s="97"/>
      <c r="Z50" s="97"/>
      <c r="AA50" s="97"/>
      <c r="AB50" s="97"/>
    </row>
    <row r="51" ht="13.5" customHeight="1">
      <c r="A51" s="97"/>
      <c r="B51" s="97"/>
      <c r="C51" s="56">
        <v>7561.0</v>
      </c>
      <c r="D51" s="66" t="s">
        <v>26</v>
      </c>
      <c r="E51" s="60">
        <f t="shared" si="10"/>
        <v>23893</v>
      </c>
      <c r="F51" s="62">
        <v>23178.0</v>
      </c>
      <c r="G51" s="146">
        <v>65.0</v>
      </c>
      <c r="H51" s="146">
        <v>65.0</v>
      </c>
      <c r="I51" s="146">
        <v>65.0</v>
      </c>
      <c r="J51" s="146">
        <v>65.0</v>
      </c>
      <c r="K51" s="146">
        <v>65.0</v>
      </c>
      <c r="L51" s="146">
        <v>65.0</v>
      </c>
      <c r="M51" s="146">
        <v>65.0</v>
      </c>
      <c r="N51" s="146">
        <v>65.0</v>
      </c>
      <c r="O51" s="146">
        <v>65.0</v>
      </c>
      <c r="P51" s="146">
        <v>65.0</v>
      </c>
      <c r="Q51" s="147">
        <v>65.0</v>
      </c>
      <c r="R51" s="4"/>
      <c r="S51" s="97"/>
      <c r="T51" s="97"/>
      <c r="U51" s="97"/>
      <c r="V51" s="97"/>
      <c r="W51" s="97"/>
      <c r="X51" s="97"/>
      <c r="Y51" s="97"/>
      <c r="Z51" s="97"/>
      <c r="AA51" s="97"/>
      <c r="AB51" s="97"/>
    </row>
    <row r="52" ht="13.5" customHeight="1">
      <c r="A52" s="97"/>
      <c r="B52" s="97"/>
      <c r="C52" s="56">
        <v>74.0</v>
      </c>
      <c r="D52" s="69" t="s">
        <v>28</v>
      </c>
      <c r="E52" s="70">
        <f t="shared" si="10"/>
        <v>29309.28</v>
      </c>
      <c r="F52" s="62">
        <v>1332.24</v>
      </c>
      <c r="G52" s="146">
        <v>1332.24</v>
      </c>
      <c r="H52" s="146">
        <f t="shared" ref="H52:Q52" si="14">1332.24*2</f>
        <v>2664.48</v>
      </c>
      <c r="I52" s="146">
        <f t="shared" si="14"/>
        <v>2664.48</v>
      </c>
      <c r="J52" s="146">
        <f t="shared" si="14"/>
        <v>2664.48</v>
      </c>
      <c r="K52" s="146">
        <f t="shared" si="14"/>
        <v>2664.48</v>
      </c>
      <c r="L52" s="146">
        <f t="shared" si="14"/>
        <v>2664.48</v>
      </c>
      <c r="M52" s="146">
        <f t="shared" si="14"/>
        <v>2664.48</v>
      </c>
      <c r="N52" s="146">
        <f t="shared" si="14"/>
        <v>2664.48</v>
      </c>
      <c r="O52" s="146">
        <f t="shared" si="14"/>
        <v>2664.48</v>
      </c>
      <c r="P52" s="146">
        <f t="shared" si="14"/>
        <v>2664.48</v>
      </c>
      <c r="Q52" s="147">
        <f t="shared" si="14"/>
        <v>2664.48</v>
      </c>
      <c r="R52" s="4"/>
      <c r="S52" s="97"/>
      <c r="T52" s="97"/>
      <c r="U52" s="97"/>
      <c r="V52" s="97"/>
      <c r="W52" s="97"/>
      <c r="X52" s="97"/>
      <c r="Y52" s="97"/>
      <c r="Z52" s="97"/>
      <c r="AA52" s="97"/>
      <c r="AB52" s="97"/>
    </row>
    <row r="53" ht="13.5" customHeight="1">
      <c r="A53" s="97"/>
      <c r="B53" s="97"/>
      <c r="C53" s="41"/>
      <c r="D53" s="148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4"/>
      <c r="S53" s="97"/>
      <c r="T53" s="97"/>
      <c r="U53" s="97"/>
      <c r="V53" s="97"/>
      <c r="W53" s="97"/>
      <c r="X53" s="97"/>
      <c r="Y53" s="97"/>
      <c r="Z53" s="97"/>
      <c r="AA53" s="97"/>
      <c r="AB53" s="97"/>
    </row>
    <row r="54" ht="13.5" customHeight="1">
      <c r="A54" s="97"/>
      <c r="B54" s="97"/>
      <c r="C54" s="41"/>
      <c r="D54" s="137" t="s">
        <v>29</v>
      </c>
      <c r="E54" s="88">
        <f>SUM(E55:E75)</f>
        <v>215363.408</v>
      </c>
      <c r="F54" s="88">
        <f>SUM(F55:F76)</f>
        <v>17971.81753</v>
      </c>
      <c r="G54" s="88">
        <f t="shared" ref="G54:Q54" si="15">SUM(G55:G75)</f>
        <v>20011.39</v>
      </c>
      <c r="H54" s="88">
        <f t="shared" si="15"/>
        <v>24587.79</v>
      </c>
      <c r="I54" s="88">
        <f t="shared" si="15"/>
        <v>24477.79</v>
      </c>
      <c r="J54" s="88">
        <f t="shared" si="15"/>
        <v>17794.79</v>
      </c>
      <c r="K54" s="88">
        <f t="shared" si="15"/>
        <v>16731.56439</v>
      </c>
      <c r="L54" s="88">
        <f t="shared" si="15"/>
        <v>11718.42803</v>
      </c>
      <c r="M54" s="88">
        <f t="shared" si="15"/>
        <v>11647.92803</v>
      </c>
      <c r="N54" s="88">
        <f t="shared" si="15"/>
        <v>16464.06439</v>
      </c>
      <c r="O54" s="88">
        <f t="shared" si="15"/>
        <v>18929.56439</v>
      </c>
      <c r="P54" s="88">
        <f t="shared" si="15"/>
        <v>18164.06439</v>
      </c>
      <c r="Q54" s="88">
        <f t="shared" si="15"/>
        <v>17761.56439</v>
      </c>
      <c r="R54" s="195"/>
      <c r="S54" s="97"/>
      <c r="T54" s="97"/>
      <c r="U54" s="97"/>
      <c r="V54" s="97"/>
      <c r="W54" s="97"/>
      <c r="X54" s="97"/>
      <c r="Y54" s="97"/>
      <c r="Z54" s="97"/>
      <c r="AA54" s="97"/>
      <c r="AB54" s="97"/>
    </row>
    <row r="55" ht="13.5" customHeight="1">
      <c r="A55" s="97"/>
      <c r="B55" s="97"/>
      <c r="C55" s="56">
        <v>213.0</v>
      </c>
      <c r="D55" s="86" t="s">
        <v>36</v>
      </c>
      <c r="E55" s="88">
        <f t="shared" ref="E55:E75" si="16">+SUM(F55:W55)</f>
        <v>2163.1</v>
      </c>
      <c r="F55" s="146">
        <v>663.1</v>
      </c>
      <c r="G55" s="146"/>
      <c r="H55" s="146">
        <v>1500.0</v>
      </c>
      <c r="I55" s="146"/>
      <c r="J55" s="146"/>
      <c r="K55" s="146"/>
      <c r="L55" s="146"/>
      <c r="M55" s="146"/>
      <c r="N55" s="146"/>
      <c r="O55" s="146"/>
      <c r="P55" s="146"/>
      <c r="Q55" s="147"/>
      <c r="R55" s="149" t="s">
        <v>96</v>
      </c>
      <c r="S55" s="97"/>
      <c r="T55" s="97"/>
      <c r="U55" s="97"/>
      <c r="V55" s="97"/>
      <c r="W55" s="97"/>
      <c r="X55" s="97"/>
      <c r="Y55" s="97"/>
      <c r="Z55" s="97"/>
      <c r="AA55" s="97"/>
      <c r="AB55" s="97"/>
    </row>
    <row r="56" ht="13.5" customHeight="1">
      <c r="A56" s="97"/>
      <c r="B56" s="97"/>
      <c r="C56" s="56">
        <v>2184.0</v>
      </c>
      <c r="D56" s="86" t="s">
        <v>37</v>
      </c>
      <c r="E56" s="88">
        <f t="shared" si="16"/>
        <v>7000</v>
      </c>
      <c r="F56" s="146">
        <v>0.0</v>
      </c>
      <c r="G56" s="146"/>
      <c r="H56" s="146">
        <v>7000.0</v>
      </c>
      <c r="I56" s="146"/>
      <c r="J56" s="146"/>
      <c r="K56" s="146"/>
      <c r="L56" s="146"/>
      <c r="M56" s="146"/>
      <c r="N56" s="146"/>
      <c r="O56" s="146"/>
      <c r="P56" s="146"/>
      <c r="Q56" s="147"/>
      <c r="R56" s="149" t="s">
        <v>97</v>
      </c>
      <c r="S56" s="97"/>
      <c r="T56" s="97"/>
      <c r="U56" s="97"/>
      <c r="V56" s="97"/>
      <c r="W56" s="97"/>
      <c r="X56" s="97"/>
      <c r="Y56" s="97"/>
      <c r="Z56" s="97"/>
      <c r="AA56" s="97"/>
      <c r="AB56" s="97"/>
    </row>
    <row r="57" ht="13.5" customHeight="1">
      <c r="A57" s="97"/>
      <c r="B57" s="97"/>
      <c r="C57" s="56">
        <v>2755.0</v>
      </c>
      <c r="D57" s="86" t="s">
        <v>38</v>
      </c>
      <c r="E57" s="88">
        <f t="shared" si="16"/>
        <v>0</v>
      </c>
      <c r="F57" s="62">
        <v>0.0</v>
      </c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7"/>
      <c r="R57" s="149"/>
      <c r="S57" s="97"/>
      <c r="T57" s="97"/>
      <c r="U57" s="97"/>
      <c r="V57" s="97"/>
      <c r="W57" s="97"/>
      <c r="X57" s="97"/>
      <c r="Y57" s="97"/>
      <c r="Z57" s="97"/>
      <c r="AA57" s="97"/>
      <c r="AB57" s="97"/>
    </row>
    <row r="58" ht="13.5" customHeight="1">
      <c r="A58" s="97"/>
      <c r="B58" s="97"/>
      <c r="C58" s="56">
        <v>4456.0</v>
      </c>
      <c r="D58" s="86" t="s">
        <v>165</v>
      </c>
      <c r="E58" s="88">
        <f t="shared" si="16"/>
        <v>1875.64803</v>
      </c>
      <c r="F58" s="62"/>
      <c r="G58" s="146"/>
      <c r="H58" s="146"/>
      <c r="I58" s="146"/>
      <c r="J58" s="146"/>
      <c r="K58" s="146">
        <f t="shared" ref="K58:Q58" si="17">(K49*0.1)-(K64-K64/1.1)-(SUM(K60,K63,K61,K66,K67,K68,K69,K70,K71)-(SUM(K60,K63,K61,K66,K67,K68,K69,K70,K71)/1.2))</f>
        <v>303.7743939</v>
      </c>
      <c r="L58" s="146">
        <f t="shared" si="17"/>
        <v>155.6380303</v>
      </c>
      <c r="M58" s="146">
        <f t="shared" si="17"/>
        <v>98.1380303</v>
      </c>
      <c r="N58" s="146">
        <f t="shared" si="17"/>
        <v>357.2743939</v>
      </c>
      <c r="O58" s="146">
        <f t="shared" si="17"/>
        <v>301.7743939</v>
      </c>
      <c r="P58" s="146">
        <f t="shared" si="17"/>
        <v>357.2743939</v>
      </c>
      <c r="Q58" s="146">
        <f t="shared" si="17"/>
        <v>301.7743939</v>
      </c>
      <c r="R58" s="149"/>
      <c r="S58" s="97"/>
      <c r="T58" s="97"/>
      <c r="U58" s="97"/>
      <c r="V58" s="97"/>
      <c r="W58" s="97"/>
      <c r="X58" s="97"/>
      <c r="Y58" s="97"/>
      <c r="Z58" s="97"/>
      <c r="AA58" s="97"/>
      <c r="AB58" s="97"/>
    </row>
    <row r="59" ht="13.5" customHeight="1">
      <c r="A59" s="97"/>
      <c r="B59" s="97"/>
      <c r="C59" s="56">
        <v>447.0</v>
      </c>
      <c r="D59" s="86" t="s">
        <v>39</v>
      </c>
      <c r="E59" s="88">
        <f t="shared" si="16"/>
        <v>5285</v>
      </c>
      <c r="F59" s="62">
        <v>0.0</v>
      </c>
      <c r="G59" s="146"/>
      <c r="H59" s="146"/>
      <c r="I59" s="146">
        <v>5285.0</v>
      </c>
      <c r="J59" s="146"/>
      <c r="K59" s="146"/>
      <c r="L59" s="146"/>
      <c r="M59" s="146"/>
      <c r="N59" s="146"/>
      <c r="O59" s="146"/>
      <c r="P59" s="146"/>
      <c r="Q59" s="147"/>
      <c r="R59" s="149" t="s">
        <v>98</v>
      </c>
      <c r="S59" s="97"/>
      <c r="T59" s="97"/>
      <c r="U59" s="97"/>
      <c r="V59" s="97"/>
      <c r="W59" s="97"/>
      <c r="X59" s="97"/>
      <c r="Y59" s="97"/>
      <c r="Z59" s="97"/>
      <c r="AA59" s="97"/>
      <c r="AB59" s="97"/>
    </row>
    <row r="60" ht="13.5" customHeight="1">
      <c r="A60" s="97"/>
      <c r="B60" s="97"/>
      <c r="C60" s="56">
        <v>604.0</v>
      </c>
      <c r="D60" s="66" t="s">
        <v>99</v>
      </c>
      <c r="E60" s="60">
        <f t="shared" si="16"/>
        <v>3405.32</v>
      </c>
      <c r="F60" s="62">
        <v>1555.32</v>
      </c>
      <c r="G60" s="144">
        <f>1300+50</f>
        <v>1350</v>
      </c>
      <c r="H60" s="144">
        <f t="shared" ref="H60:Q60" si="18">50</f>
        <v>50</v>
      </c>
      <c r="I60" s="144">
        <f t="shared" si="18"/>
        <v>50</v>
      </c>
      <c r="J60" s="144">
        <f t="shared" si="18"/>
        <v>50</v>
      </c>
      <c r="K60" s="144">
        <f t="shared" si="18"/>
        <v>50</v>
      </c>
      <c r="L60" s="144">
        <f t="shared" si="18"/>
        <v>50</v>
      </c>
      <c r="M60" s="144">
        <f t="shared" si="18"/>
        <v>50</v>
      </c>
      <c r="N60" s="144">
        <f t="shared" si="18"/>
        <v>50</v>
      </c>
      <c r="O60" s="144">
        <f t="shared" si="18"/>
        <v>50</v>
      </c>
      <c r="P60" s="144">
        <f t="shared" si="18"/>
        <v>50</v>
      </c>
      <c r="Q60" s="145">
        <f t="shared" si="18"/>
        <v>50</v>
      </c>
      <c r="R60" s="4"/>
      <c r="S60" s="97"/>
      <c r="T60" s="97"/>
      <c r="U60" s="97"/>
      <c r="V60" s="97"/>
      <c r="W60" s="97"/>
      <c r="X60" s="97"/>
      <c r="Y60" s="97"/>
      <c r="Z60" s="97"/>
      <c r="AA60" s="97"/>
      <c r="AB60" s="97"/>
    </row>
    <row r="61" ht="13.5" customHeight="1">
      <c r="A61" s="97"/>
      <c r="B61" s="97"/>
      <c r="C61" s="56">
        <v>60612.0</v>
      </c>
      <c r="D61" s="66" t="s">
        <v>42</v>
      </c>
      <c r="E61" s="60">
        <f t="shared" si="16"/>
        <v>1998</v>
      </c>
      <c r="F61" s="62">
        <v>0.0</v>
      </c>
      <c r="G61" s="144">
        <v>333.0</v>
      </c>
      <c r="H61" s="144"/>
      <c r="I61" s="144">
        <v>333.0</v>
      </c>
      <c r="J61" s="144"/>
      <c r="K61" s="144">
        <v>333.0</v>
      </c>
      <c r="L61" s="144"/>
      <c r="M61" s="144">
        <v>333.0</v>
      </c>
      <c r="N61" s="144"/>
      <c r="O61" s="144">
        <v>333.0</v>
      </c>
      <c r="P61" s="144"/>
      <c r="Q61" s="145">
        <v>333.0</v>
      </c>
      <c r="R61" s="155" t="s">
        <v>100</v>
      </c>
      <c r="S61" s="97"/>
      <c r="T61" s="97"/>
      <c r="U61" s="97"/>
      <c r="V61" s="97"/>
      <c r="W61" s="97"/>
      <c r="X61" s="97"/>
      <c r="Y61" s="97"/>
      <c r="Z61" s="97"/>
      <c r="AA61" s="97"/>
      <c r="AB61" s="97"/>
    </row>
    <row r="62" ht="13.5" customHeight="1">
      <c r="A62" s="97"/>
      <c r="B62" s="97"/>
      <c r="C62" s="56">
        <v>60611.0</v>
      </c>
      <c r="D62" s="66" t="s">
        <v>44</v>
      </c>
      <c r="E62" s="60">
        <f t="shared" si="16"/>
        <v>260</v>
      </c>
      <c r="F62" s="62">
        <v>0.0</v>
      </c>
      <c r="G62" s="144"/>
      <c r="H62" s="144"/>
      <c r="I62" s="144">
        <v>130.0</v>
      </c>
      <c r="J62" s="144"/>
      <c r="K62" s="144"/>
      <c r="L62" s="144"/>
      <c r="M62" s="144"/>
      <c r="N62" s="144"/>
      <c r="O62" s="144">
        <v>130.0</v>
      </c>
      <c r="P62" s="144"/>
      <c r="Q62" s="145"/>
      <c r="R62" s="4"/>
      <c r="S62" s="97"/>
      <c r="T62" s="97"/>
      <c r="U62" s="97"/>
      <c r="V62" s="97"/>
      <c r="W62" s="97"/>
      <c r="X62" s="97"/>
      <c r="Y62" s="97"/>
      <c r="Z62" s="97"/>
      <c r="AA62" s="97"/>
      <c r="AB62" s="97"/>
    </row>
    <row r="63" ht="13.5" customHeight="1">
      <c r="A63" s="97"/>
      <c r="B63" s="97"/>
      <c r="C63" s="56">
        <v>6064.0</v>
      </c>
      <c r="D63" s="66" t="s">
        <v>45</v>
      </c>
      <c r="E63" s="60">
        <f t="shared" si="16"/>
        <v>1090.26</v>
      </c>
      <c r="F63" s="62">
        <v>190.26</v>
      </c>
      <c r="G63" s="144">
        <f>350+50</f>
        <v>400</v>
      </c>
      <c r="H63" s="144">
        <v>50.0</v>
      </c>
      <c r="I63" s="144">
        <v>50.0</v>
      </c>
      <c r="J63" s="144">
        <v>50.0</v>
      </c>
      <c r="K63" s="144">
        <v>50.0</v>
      </c>
      <c r="L63" s="144">
        <v>50.0</v>
      </c>
      <c r="M63" s="144">
        <v>50.0</v>
      </c>
      <c r="N63" s="144">
        <v>50.0</v>
      </c>
      <c r="O63" s="144">
        <v>50.0</v>
      </c>
      <c r="P63" s="144">
        <v>50.0</v>
      </c>
      <c r="Q63" s="145">
        <v>50.0</v>
      </c>
      <c r="R63" s="4"/>
      <c r="S63" s="97"/>
      <c r="T63" s="97"/>
      <c r="U63" s="97"/>
      <c r="V63" s="97"/>
      <c r="W63" s="97"/>
      <c r="X63" s="97"/>
      <c r="Y63" s="97"/>
      <c r="Z63" s="97"/>
      <c r="AA63" s="97"/>
      <c r="AB63" s="97"/>
    </row>
    <row r="64" ht="13.5" customHeight="1">
      <c r="A64" s="97"/>
      <c r="B64" s="97"/>
      <c r="C64" s="56">
        <v>607.0</v>
      </c>
      <c r="D64" s="58" t="s">
        <v>46</v>
      </c>
      <c r="E64" s="60">
        <f t="shared" si="16"/>
        <v>143070.81</v>
      </c>
      <c r="F64" s="156">
        <v>11870.81</v>
      </c>
      <c r="G64" s="144">
        <f t="shared" ref="G64:Q64" si="19">+G49*0.82</f>
        <v>13120</v>
      </c>
      <c r="H64" s="144">
        <f t="shared" si="19"/>
        <v>13120</v>
      </c>
      <c r="I64" s="144">
        <f t="shared" si="19"/>
        <v>13120</v>
      </c>
      <c r="J64" s="144">
        <f t="shared" si="19"/>
        <v>13120</v>
      </c>
      <c r="K64" s="144">
        <f t="shared" si="19"/>
        <v>13120</v>
      </c>
      <c r="L64" s="144">
        <f t="shared" si="19"/>
        <v>6560</v>
      </c>
      <c r="M64" s="144">
        <f t="shared" si="19"/>
        <v>6560</v>
      </c>
      <c r="N64" s="144">
        <f t="shared" si="19"/>
        <v>13120</v>
      </c>
      <c r="O64" s="144">
        <f t="shared" si="19"/>
        <v>13120</v>
      </c>
      <c r="P64" s="144">
        <f t="shared" si="19"/>
        <v>13120</v>
      </c>
      <c r="Q64" s="145">
        <f t="shared" si="19"/>
        <v>13120</v>
      </c>
      <c r="R64" s="155" t="s">
        <v>175</v>
      </c>
      <c r="S64" s="97"/>
      <c r="T64" s="97"/>
      <c r="U64" s="97"/>
      <c r="V64" s="97"/>
      <c r="W64" s="97"/>
      <c r="X64" s="97"/>
      <c r="Y64" s="97"/>
      <c r="Z64" s="97"/>
      <c r="AA64" s="97"/>
      <c r="AB64" s="97"/>
    </row>
    <row r="65" ht="13.5" customHeight="1">
      <c r="A65" s="97"/>
      <c r="B65" s="97"/>
      <c r="C65" s="56">
        <v>6132.0</v>
      </c>
      <c r="D65" s="66" t="s">
        <v>105</v>
      </c>
      <c r="E65" s="60">
        <f t="shared" si="16"/>
        <v>9910</v>
      </c>
      <c r="F65" s="62">
        <v>0.0</v>
      </c>
      <c r="G65" s="144">
        <v>1950.0</v>
      </c>
      <c r="H65" s="144">
        <f>30+100</f>
        <v>130</v>
      </c>
      <c r="I65" s="144">
        <v>30.0</v>
      </c>
      <c r="J65" s="144">
        <f>1950+30</f>
        <v>1980</v>
      </c>
      <c r="K65" s="144">
        <f>30+250</f>
        <v>280</v>
      </c>
      <c r="L65" s="144">
        <v>0.0</v>
      </c>
      <c r="M65" s="144">
        <v>1950.0</v>
      </c>
      <c r="N65" s="144">
        <f>30+250</f>
        <v>280</v>
      </c>
      <c r="O65" s="144">
        <v>30.0</v>
      </c>
      <c r="P65" s="144">
        <f>30+1950</f>
        <v>1980</v>
      </c>
      <c r="Q65" s="145">
        <v>1300.0</v>
      </c>
      <c r="R65" s="157" t="s">
        <v>107</v>
      </c>
      <c r="S65" s="97"/>
      <c r="T65" s="97"/>
      <c r="U65" s="97"/>
      <c r="V65" s="97"/>
      <c r="W65" s="97"/>
      <c r="X65" s="97"/>
      <c r="Y65" s="97"/>
      <c r="Z65" s="97"/>
      <c r="AA65" s="97"/>
      <c r="AB65" s="97"/>
    </row>
    <row r="66" ht="13.5" customHeight="1">
      <c r="A66" s="97"/>
      <c r="B66" s="97"/>
      <c r="C66" s="56">
        <v>6152.0</v>
      </c>
      <c r="D66" s="66" t="s">
        <v>48</v>
      </c>
      <c r="E66" s="60">
        <f t="shared" si="16"/>
        <v>1685.27</v>
      </c>
      <c r="F66" s="62">
        <v>35.27</v>
      </c>
      <c r="G66" s="144">
        <v>850.0</v>
      </c>
      <c r="H66" s="144">
        <v>80.0</v>
      </c>
      <c r="I66" s="144">
        <v>80.0</v>
      </c>
      <c r="J66" s="144">
        <v>80.0</v>
      </c>
      <c r="K66" s="144">
        <v>80.0</v>
      </c>
      <c r="L66" s="144">
        <v>80.0</v>
      </c>
      <c r="M66" s="144">
        <v>80.0</v>
      </c>
      <c r="N66" s="144">
        <v>80.0</v>
      </c>
      <c r="O66" s="144">
        <v>80.0</v>
      </c>
      <c r="P66" s="144">
        <v>80.0</v>
      </c>
      <c r="Q66" s="145">
        <v>80.0</v>
      </c>
      <c r="R66" s="158"/>
      <c r="S66" s="97"/>
      <c r="T66" s="97"/>
      <c r="U66" s="97"/>
      <c r="V66" s="97"/>
      <c r="W66" s="97"/>
      <c r="X66" s="97"/>
      <c r="Y66" s="97"/>
      <c r="Z66" s="97"/>
      <c r="AA66" s="97"/>
      <c r="AB66" s="97"/>
    </row>
    <row r="67" ht="13.5" customHeight="1">
      <c r="A67" s="97"/>
      <c r="B67" s="97"/>
      <c r="C67" s="56">
        <v>616.0</v>
      </c>
      <c r="D67" s="66" t="s">
        <v>49</v>
      </c>
      <c r="E67" s="60">
        <f t="shared" si="16"/>
        <v>299.26</v>
      </c>
      <c r="F67" s="62">
        <v>299.26</v>
      </c>
      <c r="G67" s="144">
        <v>0.0</v>
      </c>
      <c r="H67" s="144">
        <v>0.0</v>
      </c>
      <c r="I67" s="144">
        <v>0.0</v>
      </c>
      <c r="J67" s="144">
        <v>0.0</v>
      </c>
      <c r="K67" s="144">
        <v>0.0</v>
      </c>
      <c r="L67" s="160">
        <v>0.0</v>
      </c>
      <c r="M67" s="144">
        <v>0.0</v>
      </c>
      <c r="N67" s="144">
        <v>0.0</v>
      </c>
      <c r="O67" s="144">
        <v>0.0</v>
      </c>
      <c r="P67" s="144">
        <v>0.0</v>
      </c>
      <c r="Q67" s="145">
        <v>0.0</v>
      </c>
      <c r="R67" s="161"/>
      <c r="S67" s="97"/>
      <c r="T67" s="97"/>
      <c r="U67" s="97"/>
      <c r="V67" s="97"/>
      <c r="W67" s="97"/>
      <c r="X67" s="97"/>
      <c r="Y67" s="97"/>
      <c r="Z67" s="97"/>
      <c r="AA67" s="97"/>
      <c r="AB67" s="97"/>
    </row>
    <row r="68" ht="13.5" customHeight="1">
      <c r="A68" s="97"/>
      <c r="B68" s="97"/>
      <c r="C68" s="56">
        <v>6227.0</v>
      </c>
      <c r="D68" s="66" t="s">
        <v>51</v>
      </c>
      <c r="E68" s="60">
        <f t="shared" si="16"/>
        <v>0</v>
      </c>
      <c r="F68" s="62">
        <v>0.0</v>
      </c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5"/>
      <c r="R68" s="158"/>
      <c r="S68" s="97"/>
      <c r="T68" s="97"/>
      <c r="U68" s="97"/>
      <c r="V68" s="97"/>
      <c r="W68" s="97"/>
      <c r="X68" s="97"/>
      <c r="Y68" s="97"/>
      <c r="Z68" s="97"/>
      <c r="AA68" s="97"/>
      <c r="AB68" s="97"/>
    </row>
    <row r="69" ht="13.5" customHeight="1">
      <c r="A69" s="97"/>
      <c r="B69" s="97"/>
      <c r="C69" s="56">
        <v>6251.0</v>
      </c>
      <c r="D69" s="66" t="s">
        <v>52</v>
      </c>
      <c r="E69" s="60">
        <f t="shared" si="16"/>
        <v>704</v>
      </c>
      <c r="F69" s="62">
        <v>44.0</v>
      </c>
      <c r="G69" s="144">
        <v>60.0</v>
      </c>
      <c r="H69" s="144">
        <v>60.0</v>
      </c>
      <c r="I69" s="144">
        <v>60.0</v>
      </c>
      <c r="J69" s="144">
        <v>60.0</v>
      </c>
      <c r="K69" s="144">
        <v>60.0</v>
      </c>
      <c r="L69" s="144">
        <v>60.0</v>
      </c>
      <c r="M69" s="144">
        <v>60.0</v>
      </c>
      <c r="N69" s="144">
        <v>60.0</v>
      </c>
      <c r="O69" s="144">
        <v>60.0</v>
      </c>
      <c r="P69" s="144">
        <v>60.0</v>
      </c>
      <c r="Q69" s="145">
        <v>60.0</v>
      </c>
      <c r="R69" s="158"/>
      <c r="S69" s="97"/>
      <c r="T69" s="97"/>
      <c r="U69" s="97"/>
      <c r="V69" s="97"/>
      <c r="W69" s="97"/>
      <c r="X69" s="97"/>
      <c r="Y69" s="97"/>
      <c r="Z69" s="97"/>
      <c r="AA69" s="97"/>
      <c r="AB69" s="97"/>
    </row>
    <row r="70" ht="13.5" customHeight="1">
      <c r="A70" s="97"/>
      <c r="B70" s="97"/>
      <c r="C70" s="56">
        <v>626.0</v>
      </c>
      <c r="D70" s="66" t="s">
        <v>53</v>
      </c>
      <c r="E70" s="60">
        <f t="shared" si="16"/>
        <v>387.5</v>
      </c>
      <c r="F70" s="62">
        <v>19.61</v>
      </c>
      <c r="G70" s="144">
        <f t="shared" ref="G70:L70" si="20">17.99+10</f>
        <v>27.99</v>
      </c>
      <c r="H70" s="144">
        <f t="shared" si="20"/>
        <v>27.99</v>
      </c>
      <c r="I70" s="144">
        <f t="shared" si="20"/>
        <v>27.99</v>
      </c>
      <c r="J70" s="144">
        <f t="shared" si="20"/>
        <v>27.99</v>
      </c>
      <c r="K70" s="144">
        <f t="shared" si="20"/>
        <v>27.99</v>
      </c>
      <c r="L70" s="144">
        <f t="shared" si="20"/>
        <v>27.99</v>
      </c>
      <c r="M70" s="144">
        <f t="shared" ref="M70:Q70" si="21">10+29.99</f>
        <v>39.99</v>
      </c>
      <c r="N70" s="144">
        <f t="shared" si="21"/>
        <v>39.99</v>
      </c>
      <c r="O70" s="144">
        <f t="shared" si="21"/>
        <v>39.99</v>
      </c>
      <c r="P70" s="144">
        <f t="shared" si="21"/>
        <v>39.99</v>
      </c>
      <c r="Q70" s="145">
        <f t="shared" si="21"/>
        <v>39.99</v>
      </c>
      <c r="R70" s="157" t="s">
        <v>112</v>
      </c>
      <c r="S70" s="97"/>
      <c r="T70" s="97"/>
      <c r="U70" s="97"/>
      <c r="V70" s="97"/>
      <c r="W70" s="97"/>
      <c r="X70" s="97"/>
      <c r="Y70" s="97"/>
      <c r="Z70" s="97"/>
      <c r="AA70" s="97"/>
      <c r="AB70" s="97"/>
    </row>
    <row r="71" ht="13.5" customHeight="1">
      <c r="A71" s="97"/>
      <c r="B71" s="97"/>
      <c r="C71" s="56">
        <v>627.0</v>
      </c>
      <c r="D71" s="66" t="s">
        <v>50</v>
      </c>
      <c r="E71" s="60">
        <f t="shared" si="16"/>
        <v>227.3</v>
      </c>
      <c r="F71" s="62">
        <v>7.3</v>
      </c>
      <c r="G71" s="144">
        <v>20.0</v>
      </c>
      <c r="H71" s="144">
        <v>20.0</v>
      </c>
      <c r="I71" s="144">
        <v>20.0</v>
      </c>
      <c r="J71" s="144">
        <v>20.0</v>
      </c>
      <c r="K71" s="144">
        <v>20.0</v>
      </c>
      <c r="L71" s="144">
        <v>20.0</v>
      </c>
      <c r="M71" s="144">
        <v>20.0</v>
      </c>
      <c r="N71" s="144">
        <v>20.0</v>
      </c>
      <c r="O71" s="144">
        <v>20.0</v>
      </c>
      <c r="P71" s="144">
        <v>20.0</v>
      </c>
      <c r="Q71" s="145">
        <v>20.0</v>
      </c>
      <c r="R71" s="158"/>
      <c r="S71" s="97"/>
      <c r="T71" s="97"/>
      <c r="U71" s="97"/>
      <c r="V71" s="97"/>
      <c r="W71" s="97"/>
      <c r="X71" s="97"/>
      <c r="Y71" s="97"/>
      <c r="Z71" s="97"/>
      <c r="AA71" s="97"/>
      <c r="AB71" s="97"/>
    </row>
    <row r="72" ht="13.5" customHeight="1">
      <c r="A72" s="97"/>
      <c r="B72" s="97"/>
      <c r="C72" s="56">
        <v>6411.0</v>
      </c>
      <c r="D72" s="66" t="s">
        <v>54</v>
      </c>
      <c r="E72" s="60">
        <f t="shared" si="16"/>
        <v>24714.89</v>
      </c>
      <c r="F72" s="144">
        <v>1123.49</v>
      </c>
      <c r="G72" s="144">
        <f>1123.4</f>
        <v>1123.4</v>
      </c>
      <c r="H72" s="144">
        <f t="shared" ref="H72:Q72" si="22">2246.8</f>
        <v>2246.8</v>
      </c>
      <c r="I72" s="144">
        <f t="shared" si="22"/>
        <v>2246.8</v>
      </c>
      <c r="J72" s="144">
        <f t="shared" si="22"/>
        <v>2246.8</v>
      </c>
      <c r="K72" s="144">
        <f t="shared" si="22"/>
        <v>2246.8</v>
      </c>
      <c r="L72" s="144">
        <f t="shared" si="22"/>
        <v>2246.8</v>
      </c>
      <c r="M72" s="144">
        <f t="shared" si="22"/>
        <v>2246.8</v>
      </c>
      <c r="N72" s="144">
        <f t="shared" si="22"/>
        <v>2246.8</v>
      </c>
      <c r="O72" s="144">
        <f t="shared" si="22"/>
        <v>2246.8</v>
      </c>
      <c r="P72" s="144">
        <f t="shared" si="22"/>
        <v>2246.8</v>
      </c>
      <c r="Q72" s="145">
        <f t="shared" si="22"/>
        <v>2246.8</v>
      </c>
      <c r="R72" s="158"/>
      <c r="S72" s="97"/>
      <c r="T72" s="97"/>
      <c r="U72" s="97"/>
      <c r="V72" s="97"/>
      <c r="W72" s="97"/>
      <c r="X72" s="97"/>
      <c r="Y72" s="97"/>
      <c r="Z72" s="97"/>
      <c r="AA72" s="97"/>
      <c r="AB72" s="97"/>
    </row>
    <row r="73" ht="13.5" customHeight="1">
      <c r="A73" s="97"/>
      <c r="B73" s="97"/>
      <c r="C73" s="56">
        <v>6451.0</v>
      </c>
      <c r="D73" s="69" t="s">
        <v>92</v>
      </c>
      <c r="E73" s="60">
        <f t="shared" si="16"/>
        <v>10549</v>
      </c>
      <c r="F73" s="144">
        <v>1078.0</v>
      </c>
      <c r="G73" s="144">
        <f>529+55+143</f>
        <v>727</v>
      </c>
      <c r="H73" s="144">
        <f>110+143</f>
        <v>253</v>
      </c>
      <c r="I73" s="144">
        <f>(577*5+110)</f>
        <v>2995</v>
      </c>
      <c r="J73" s="144">
        <f t="shared" ref="J73:K73" si="23">110</f>
        <v>110</v>
      </c>
      <c r="K73" s="144">
        <f t="shared" si="23"/>
        <v>110</v>
      </c>
      <c r="L73" s="144">
        <f>(577*4)+110</f>
        <v>2418</v>
      </c>
      <c r="M73" s="144">
        <v>110.0</v>
      </c>
      <c r="N73" s="144">
        <v>110.0</v>
      </c>
      <c r="O73" s="144">
        <f>(577*4)+110</f>
        <v>2418</v>
      </c>
      <c r="P73" s="144">
        <v>110.0</v>
      </c>
      <c r="Q73" s="145">
        <v>110.0</v>
      </c>
      <c r="R73" s="157" t="s">
        <v>115</v>
      </c>
      <c r="S73" s="97"/>
      <c r="T73" s="97"/>
      <c r="U73" s="97"/>
      <c r="V73" s="97"/>
      <c r="W73" s="97"/>
      <c r="X73" s="97"/>
      <c r="Y73" s="97"/>
      <c r="Z73" s="97"/>
      <c r="AA73" s="97"/>
      <c r="AB73" s="97"/>
    </row>
    <row r="74" ht="13.5" customHeight="1">
      <c r="A74" s="97"/>
      <c r="B74" s="97"/>
      <c r="C74" s="56">
        <v>651.0</v>
      </c>
      <c r="D74" s="86" t="s">
        <v>56</v>
      </c>
      <c r="E74" s="143">
        <f t="shared" si="16"/>
        <v>129.05</v>
      </c>
      <c r="F74" s="144">
        <v>129.05</v>
      </c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5"/>
      <c r="R74" s="158"/>
      <c r="S74" s="97"/>
      <c r="T74" s="97"/>
      <c r="U74" s="97"/>
      <c r="V74" s="97"/>
      <c r="W74" s="97"/>
      <c r="X74" s="97"/>
      <c r="Y74" s="97"/>
      <c r="Z74" s="97"/>
      <c r="AA74" s="97"/>
      <c r="AB74" s="97"/>
    </row>
    <row r="75" ht="13.5" customHeight="1">
      <c r="A75" s="97"/>
      <c r="B75" s="97"/>
      <c r="C75" s="56">
        <v>6713.0</v>
      </c>
      <c r="D75" s="86" t="s">
        <v>57</v>
      </c>
      <c r="E75" s="143">
        <f t="shared" si="16"/>
        <v>609</v>
      </c>
      <c r="F75" s="144">
        <v>59.0</v>
      </c>
      <c r="G75" s="144">
        <v>50.0</v>
      </c>
      <c r="H75" s="144">
        <v>50.0</v>
      </c>
      <c r="I75" s="144">
        <v>50.0</v>
      </c>
      <c r="J75" s="144">
        <v>50.0</v>
      </c>
      <c r="K75" s="144">
        <v>50.0</v>
      </c>
      <c r="L75" s="144">
        <v>50.0</v>
      </c>
      <c r="M75" s="144">
        <v>50.0</v>
      </c>
      <c r="N75" s="144">
        <v>50.0</v>
      </c>
      <c r="O75" s="144">
        <v>50.0</v>
      </c>
      <c r="P75" s="144">
        <v>50.0</v>
      </c>
      <c r="Q75" s="145">
        <v>50.0</v>
      </c>
      <c r="R75" s="158"/>
      <c r="S75" s="97"/>
      <c r="T75" s="97"/>
      <c r="U75" s="97"/>
      <c r="V75" s="97"/>
      <c r="W75" s="97"/>
      <c r="X75" s="97"/>
      <c r="Y75" s="97"/>
      <c r="Z75" s="97"/>
      <c r="AA75" s="97"/>
      <c r="AB75" s="97"/>
    </row>
    <row r="76" ht="13.5" customHeight="1">
      <c r="A76" s="97"/>
      <c r="B76" s="97"/>
      <c r="C76" s="56"/>
      <c r="D76" s="168" t="s">
        <v>117</v>
      </c>
      <c r="E76" s="170">
        <f>(E54*0.05)</f>
        <v>10768.1704</v>
      </c>
      <c r="F76" s="172">
        <f t="shared" ref="F76:Q76" si="24">$E$76/12</f>
        <v>897.3475335</v>
      </c>
      <c r="G76" s="172">
        <f t="shared" si="24"/>
        <v>897.3475335</v>
      </c>
      <c r="H76" s="172">
        <f t="shared" si="24"/>
        <v>897.3475335</v>
      </c>
      <c r="I76" s="172">
        <f t="shared" si="24"/>
        <v>897.3475335</v>
      </c>
      <c r="J76" s="172">
        <f t="shared" si="24"/>
        <v>897.3475335</v>
      </c>
      <c r="K76" s="172">
        <f t="shared" si="24"/>
        <v>897.3475335</v>
      </c>
      <c r="L76" s="172">
        <f t="shared" si="24"/>
        <v>897.3475335</v>
      </c>
      <c r="M76" s="172">
        <f t="shared" si="24"/>
        <v>897.3475335</v>
      </c>
      <c r="N76" s="172">
        <f t="shared" si="24"/>
        <v>897.3475335</v>
      </c>
      <c r="O76" s="172">
        <f t="shared" si="24"/>
        <v>897.3475335</v>
      </c>
      <c r="P76" s="172">
        <f t="shared" si="24"/>
        <v>897.3475335</v>
      </c>
      <c r="Q76" s="172">
        <f t="shared" si="24"/>
        <v>897.3475335</v>
      </c>
      <c r="R76" s="157" t="s">
        <v>121</v>
      </c>
      <c r="S76" s="97"/>
      <c r="T76" s="97"/>
      <c r="U76" s="97"/>
      <c r="V76" s="97"/>
      <c r="W76" s="97"/>
      <c r="X76" s="97"/>
      <c r="Y76" s="97"/>
      <c r="Z76" s="97"/>
      <c r="AA76" s="97"/>
      <c r="AB76" s="97"/>
    </row>
    <row r="77" ht="13.5" customHeight="1">
      <c r="A77" s="97"/>
      <c r="B77" s="97"/>
      <c r="C77" s="174"/>
      <c r="D77" s="175"/>
      <c r="E77" s="176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80"/>
      <c r="S77" s="97"/>
      <c r="T77" s="97"/>
      <c r="U77" s="97"/>
      <c r="V77" s="97"/>
      <c r="W77" s="97"/>
      <c r="X77" s="97"/>
      <c r="Y77" s="97"/>
      <c r="Z77" s="97"/>
      <c r="AA77" s="97"/>
      <c r="AB77" s="97"/>
    </row>
    <row r="78" ht="13.5" customHeight="1">
      <c r="A78" s="97"/>
      <c r="B78" s="97"/>
      <c r="C78" s="104">
        <v>40.0</v>
      </c>
      <c r="D78" s="182" t="s">
        <v>60</v>
      </c>
      <c r="E78" s="60">
        <f>SUM(F78:Q78)</f>
        <v>5866.29</v>
      </c>
      <c r="F78" s="62">
        <v>5866.29</v>
      </c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5"/>
      <c r="R78" s="180"/>
      <c r="S78" s="97"/>
      <c r="T78" s="97"/>
      <c r="U78" s="97"/>
      <c r="V78" s="97"/>
      <c r="W78" s="97"/>
      <c r="X78" s="97"/>
      <c r="Y78" s="97"/>
      <c r="Z78" s="97"/>
      <c r="AA78" s="97"/>
      <c r="AB78" s="97"/>
    </row>
    <row r="79" ht="13.5" customHeight="1">
      <c r="A79" s="97"/>
      <c r="B79" s="97"/>
      <c r="C79" s="110"/>
      <c r="D79" s="186"/>
      <c r="E79" s="186"/>
      <c r="F79" s="62"/>
      <c r="G79" s="186"/>
      <c r="H79" s="186"/>
      <c r="I79" s="186"/>
      <c r="J79" s="186"/>
      <c r="K79" s="186"/>
      <c r="L79" s="186"/>
      <c r="M79" s="186"/>
      <c r="N79" s="186"/>
      <c r="O79" s="186"/>
      <c r="P79" s="186"/>
      <c r="Q79" s="187"/>
      <c r="R79" s="189"/>
      <c r="S79" s="97"/>
      <c r="T79" s="97"/>
      <c r="U79" s="97"/>
      <c r="V79" s="97"/>
      <c r="W79" s="97"/>
      <c r="X79" s="97"/>
      <c r="Y79" s="97"/>
      <c r="Z79" s="97"/>
      <c r="AA79" s="97"/>
      <c r="AB79" s="97"/>
    </row>
    <row r="80" ht="13.5" customHeight="1">
      <c r="A80" s="97"/>
      <c r="B80" s="97"/>
      <c r="C80" s="114">
        <v>6037.0</v>
      </c>
      <c r="D80" s="190" t="s">
        <v>67</v>
      </c>
      <c r="E80" s="60"/>
      <c r="F80" s="62">
        <v>7286.0</v>
      </c>
      <c r="G80" s="186"/>
      <c r="H80" s="184"/>
      <c r="I80" s="184"/>
      <c r="J80" s="184"/>
      <c r="K80" s="184"/>
      <c r="L80" s="184"/>
      <c r="M80" s="184"/>
      <c r="N80" s="184"/>
      <c r="O80" s="184"/>
      <c r="P80" s="184"/>
      <c r="Q80" s="185"/>
      <c r="R80" s="180"/>
      <c r="S80" s="97"/>
      <c r="T80" s="97"/>
      <c r="U80" s="97"/>
      <c r="V80" s="97"/>
      <c r="W80" s="97"/>
      <c r="X80" s="97"/>
      <c r="Y80" s="97"/>
      <c r="Z80" s="97"/>
      <c r="AA80" s="97"/>
      <c r="AB80" s="97"/>
    </row>
    <row r="81" ht="13.5" customHeight="1">
      <c r="A81" s="97"/>
      <c r="B81" s="97"/>
      <c r="C81" s="119"/>
      <c r="D81" s="190" t="s">
        <v>71</v>
      </c>
      <c r="E81" s="60">
        <f t="shared" ref="E81:E82" si="25">SUM(F81:Q81)</f>
        <v>4246.72</v>
      </c>
      <c r="F81" s="62">
        <v>4246.72</v>
      </c>
      <c r="G81" s="186"/>
      <c r="H81" s="184"/>
      <c r="I81" s="184"/>
      <c r="J81" s="184"/>
      <c r="K81" s="184"/>
      <c r="L81" s="184"/>
      <c r="M81" s="184"/>
      <c r="N81" s="184"/>
      <c r="O81" s="184"/>
      <c r="P81" s="184"/>
      <c r="Q81" s="185"/>
      <c r="R81" s="180"/>
      <c r="S81" s="97"/>
      <c r="T81" s="97"/>
      <c r="U81" s="97"/>
      <c r="V81" s="97"/>
      <c r="W81" s="97"/>
      <c r="X81" s="97"/>
      <c r="Y81" s="97"/>
      <c r="Z81" s="97"/>
      <c r="AA81" s="97"/>
      <c r="AB81" s="97"/>
    </row>
    <row r="82" ht="13.5" customHeight="1">
      <c r="A82" s="97"/>
      <c r="B82" s="97"/>
      <c r="C82" s="119"/>
      <c r="D82" s="190" t="s">
        <v>73</v>
      </c>
      <c r="E82" s="60">
        <f t="shared" si="25"/>
        <v>1843.76</v>
      </c>
      <c r="F82" s="62">
        <v>1843.76</v>
      </c>
      <c r="G82" s="184"/>
      <c r="H82" s="184"/>
      <c r="I82" s="184"/>
      <c r="J82" s="184"/>
      <c r="K82" s="184"/>
      <c r="L82" s="184"/>
      <c r="M82" s="184"/>
      <c r="N82" s="184"/>
      <c r="O82" s="184"/>
      <c r="P82" s="184"/>
      <c r="Q82" s="185"/>
      <c r="R82" s="180"/>
      <c r="S82" s="97"/>
      <c r="T82" s="97"/>
      <c r="U82" s="97"/>
      <c r="V82" s="97"/>
      <c r="W82" s="97"/>
      <c r="X82" s="97"/>
      <c r="Y82" s="97"/>
      <c r="Z82" s="97"/>
      <c r="AA82" s="97"/>
      <c r="AB82" s="97"/>
    </row>
    <row r="83" ht="13.5" customHeight="1">
      <c r="A83" s="97"/>
      <c r="B83" s="97"/>
      <c r="C83" s="122"/>
      <c r="D83" s="190" t="s">
        <v>74</v>
      </c>
      <c r="E83" s="123">
        <f>E82/(E49+E81)</f>
        <v>0.01061373263</v>
      </c>
      <c r="F83" s="124">
        <v>0.13</v>
      </c>
      <c r="G83" s="267"/>
      <c r="H83" s="186"/>
      <c r="I83" s="186"/>
      <c r="J83" s="184"/>
      <c r="K83" s="184"/>
      <c r="L83" s="184"/>
      <c r="M83" s="184"/>
      <c r="N83" s="184"/>
      <c r="O83" s="184"/>
      <c r="P83" s="184"/>
      <c r="Q83" s="185"/>
      <c r="R83" s="180"/>
      <c r="S83" s="97"/>
      <c r="T83" s="97"/>
      <c r="U83" s="97"/>
      <c r="V83" s="97"/>
      <c r="W83" s="97"/>
      <c r="X83" s="97"/>
      <c r="Y83" s="97"/>
      <c r="Z83" s="97"/>
      <c r="AA83" s="97"/>
      <c r="AB83" s="97"/>
    </row>
    <row r="84" ht="13.5" customHeight="1">
      <c r="A84" s="97"/>
      <c r="B84" s="97"/>
      <c r="C84" s="97"/>
      <c r="D84" s="97"/>
      <c r="E84" s="202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58"/>
      <c r="S84" s="97"/>
      <c r="T84" s="97"/>
      <c r="U84" s="97"/>
      <c r="V84" s="97"/>
      <c r="W84" s="97"/>
      <c r="X84" s="97"/>
      <c r="Y84" s="97"/>
      <c r="Z84" s="97"/>
      <c r="AA84" s="97"/>
      <c r="AB84" s="97"/>
    </row>
    <row r="85" ht="13.5" customHeight="1">
      <c r="A85" s="48" t="s">
        <v>29</v>
      </c>
      <c r="B85" s="128">
        <f>+SUM(D85:U85)</f>
        <v>36106.09641</v>
      </c>
      <c r="C85" s="97"/>
      <c r="D85" s="129" t="s">
        <v>134</v>
      </c>
      <c r="E85" s="193">
        <f t="shared" ref="E85:Q85" si="26">+SUM(E48-E54)</f>
        <v>18501.72197</v>
      </c>
      <c r="F85" s="130">
        <f t="shared" si="26"/>
        <v>18516.27247</v>
      </c>
      <c r="G85" s="130">
        <f t="shared" si="26"/>
        <v>-2034.85</v>
      </c>
      <c r="H85" s="130">
        <f t="shared" si="26"/>
        <v>-5279.01</v>
      </c>
      <c r="I85" s="130">
        <f t="shared" si="26"/>
        <v>-3765.51</v>
      </c>
      <c r="J85" s="130">
        <f t="shared" si="26"/>
        <v>1513.99</v>
      </c>
      <c r="K85" s="130">
        <f t="shared" si="26"/>
        <v>2397.915606</v>
      </c>
      <c r="L85" s="130">
        <f t="shared" si="26"/>
        <v>-409.6480303</v>
      </c>
      <c r="M85" s="130">
        <f t="shared" si="26"/>
        <v>-339.1480303</v>
      </c>
      <c r="N85" s="130">
        <f t="shared" si="26"/>
        <v>2844.715606</v>
      </c>
      <c r="O85" s="130">
        <f t="shared" si="26"/>
        <v>1467.715606</v>
      </c>
      <c r="P85" s="130">
        <f t="shared" si="26"/>
        <v>1144.715606</v>
      </c>
      <c r="Q85" s="132">
        <f t="shared" si="26"/>
        <v>1547.215606</v>
      </c>
      <c r="R85" s="158"/>
      <c r="S85" s="97"/>
      <c r="T85" s="97"/>
      <c r="U85" s="97"/>
      <c r="V85" s="97"/>
      <c r="W85" s="97"/>
      <c r="X85" s="97"/>
      <c r="Y85" s="97"/>
      <c r="Z85" s="97"/>
      <c r="AA85" s="97"/>
      <c r="AB85" s="97"/>
    </row>
    <row r="86" ht="13.5" customHeight="1">
      <c r="A86" s="1"/>
      <c r="B86" s="1"/>
      <c r="C86" s="97"/>
      <c r="D86" s="97" t="s">
        <v>136</v>
      </c>
      <c r="E86" s="193" t="str">
        <f>#REF!</f>
        <v>#REF!</v>
      </c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7"/>
      <c r="R86" s="4"/>
      <c r="S86" s="97"/>
      <c r="T86" s="97"/>
      <c r="U86" s="97"/>
      <c r="V86" s="97"/>
      <c r="W86" s="97"/>
      <c r="X86" s="97"/>
      <c r="Y86" s="97"/>
      <c r="Z86" s="97"/>
      <c r="AA86" s="97"/>
      <c r="AB86" s="97"/>
    </row>
    <row r="87" ht="13.5" customHeight="1">
      <c r="A87" s="97"/>
      <c r="B87" s="97"/>
      <c r="C87" s="97"/>
      <c r="D87" s="48" t="s">
        <v>85</v>
      </c>
      <c r="E87" s="199">
        <v>4000.0</v>
      </c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</row>
    <row r="88" ht="13.5" customHeight="1">
      <c r="A88" s="97"/>
      <c r="B88" s="97"/>
      <c r="C88" s="97"/>
      <c r="D88" s="97"/>
      <c r="E88" s="202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</row>
    <row r="89" ht="13.5" customHeight="1">
      <c r="A89" s="97"/>
      <c r="B89" s="97"/>
      <c r="C89" s="97"/>
      <c r="D89" s="97"/>
      <c r="E89" s="202"/>
      <c r="F89" s="268">
        <v>0.29</v>
      </c>
      <c r="G89" s="268">
        <v>0.29</v>
      </c>
      <c r="H89" s="268">
        <v>0.29</v>
      </c>
      <c r="I89" s="268">
        <v>0.29</v>
      </c>
      <c r="J89" s="268">
        <v>0.29</v>
      </c>
      <c r="K89" s="268">
        <v>0.29</v>
      </c>
      <c r="L89" s="268">
        <v>0.29</v>
      </c>
      <c r="M89" s="268">
        <v>0.29</v>
      </c>
      <c r="N89" s="268">
        <v>0.29</v>
      </c>
      <c r="O89" s="268">
        <v>0.29</v>
      </c>
      <c r="P89" s="268">
        <v>0.29</v>
      </c>
      <c r="Q89" s="268">
        <v>0.29</v>
      </c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</row>
    <row r="90" ht="13.5" customHeight="1">
      <c r="A90" s="97"/>
      <c r="B90" s="97"/>
      <c r="C90" s="97"/>
      <c r="D90" s="97"/>
      <c r="E90" s="202"/>
      <c r="F90" s="270">
        <v>733.0</v>
      </c>
      <c r="G90" s="270">
        <f t="shared" ref="G90:H90" si="27">F90+30</f>
        <v>763</v>
      </c>
      <c r="H90" s="270">
        <f t="shared" si="27"/>
        <v>793</v>
      </c>
      <c r="I90" s="270">
        <f>H90-(103*0.3)+30</f>
        <v>792.1</v>
      </c>
      <c r="J90" s="270">
        <f>I90+30</f>
        <v>822.1</v>
      </c>
      <c r="K90" s="270">
        <f>J90+20</f>
        <v>842.1</v>
      </c>
      <c r="L90" s="270">
        <f>K90-(96*0.3)+30</f>
        <v>843.3</v>
      </c>
      <c r="M90" s="270">
        <f t="shared" ref="M90:N90" si="28">L90+30</f>
        <v>873.3</v>
      </c>
      <c r="N90" s="270">
        <f t="shared" si="28"/>
        <v>903.3</v>
      </c>
      <c r="O90" s="270">
        <f>N90-(123*0.3)+30</f>
        <v>896.4</v>
      </c>
      <c r="P90" s="270">
        <f t="shared" ref="P90:Q90" si="29">O90+30</f>
        <v>926.4</v>
      </c>
      <c r="Q90" s="270">
        <f t="shared" si="29"/>
        <v>956.4</v>
      </c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</row>
    <row r="91" ht="13.5" customHeight="1">
      <c r="A91" s="97"/>
      <c r="B91" s="97"/>
      <c r="C91" s="97"/>
      <c r="D91" s="97"/>
      <c r="E91" s="202"/>
      <c r="F91" s="275">
        <f t="shared" ref="F91:Q91" si="30">F90*F89</f>
        <v>212.57</v>
      </c>
      <c r="G91" s="275">
        <f t="shared" si="30"/>
        <v>221.27</v>
      </c>
      <c r="H91" s="275">
        <f t="shared" si="30"/>
        <v>229.97</v>
      </c>
      <c r="I91" s="275">
        <f t="shared" si="30"/>
        <v>229.709</v>
      </c>
      <c r="J91" s="275">
        <f t="shared" si="30"/>
        <v>238.409</v>
      </c>
      <c r="K91" s="275">
        <f t="shared" si="30"/>
        <v>244.209</v>
      </c>
      <c r="L91" s="275">
        <f t="shared" si="30"/>
        <v>244.557</v>
      </c>
      <c r="M91" s="275">
        <f t="shared" si="30"/>
        <v>253.257</v>
      </c>
      <c r="N91" s="275">
        <f t="shared" si="30"/>
        <v>261.957</v>
      </c>
      <c r="O91" s="275">
        <f t="shared" si="30"/>
        <v>259.956</v>
      </c>
      <c r="P91" s="275">
        <f t="shared" si="30"/>
        <v>268.656</v>
      </c>
      <c r="Q91" s="275">
        <f t="shared" si="30"/>
        <v>277.356</v>
      </c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</row>
    <row r="92" ht="13.5" customHeight="1">
      <c r="A92" s="97"/>
      <c r="B92" s="97"/>
      <c r="C92" s="97"/>
      <c r="D92" s="97"/>
      <c r="E92" s="202"/>
      <c r="F92" s="277">
        <f t="shared" ref="F92:Q92" si="31">F49/F91</f>
        <v>44.53991626</v>
      </c>
      <c r="G92" s="277">
        <f t="shared" si="31"/>
        <v>72.3098477</v>
      </c>
      <c r="H92" s="277">
        <f t="shared" si="31"/>
        <v>69.5742923</v>
      </c>
      <c r="I92" s="277">
        <f t="shared" si="31"/>
        <v>69.65334401</v>
      </c>
      <c r="J92" s="277">
        <f t="shared" si="31"/>
        <v>67.11156039</v>
      </c>
      <c r="K92" s="277">
        <f t="shared" si="31"/>
        <v>65.51765086</v>
      </c>
      <c r="L92" s="277">
        <f t="shared" si="31"/>
        <v>32.71221024</v>
      </c>
      <c r="M92" s="277">
        <f t="shared" si="31"/>
        <v>31.58846547</v>
      </c>
      <c r="N92" s="277">
        <f t="shared" si="31"/>
        <v>61.07872666</v>
      </c>
      <c r="O92" s="277">
        <f t="shared" si="31"/>
        <v>61.5488775</v>
      </c>
      <c r="P92" s="277">
        <f t="shared" si="31"/>
        <v>59.55571437</v>
      </c>
      <c r="Q92" s="277">
        <f t="shared" si="31"/>
        <v>57.68759284</v>
      </c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</row>
    <row r="93" ht="13.5" customHeight="1">
      <c r="A93" s="97"/>
      <c r="B93" s="97"/>
      <c r="C93" s="97"/>
      <c r="D93" s="97"/>
      <c r="E93" s="202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8"/>
      <c r="Q93" s="148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</row>
    <row r="94" ht="13.5" customHeight="1">
      <c r="A94" s="97"/>
      <c r="B94" s="97"/>
      <c r="C94" s="97"/>
      <c r="D94" s="97"/>
      <c r="E94" s="202"/>
      <c r="F94" s="278">
        <v>39.0</v>
      </c>
      <c r="G94" s="278">
        <v>39.0</v>
      </c>
      <c r="H94" s="278">
        <v>39.0</v>
      </c>
      <c r="I94" s="278">
        <v>39.0</v>
      </c>
      <c r="J94" s="278">
        <v>39.0</v>
      </c>
      <c r="K94" s="278">
        <v>39.0</v>
      </c>
      <c r="L94" s="278">
        <v>39.0</v>
      </c>
      <c r="M94" s="278">
        <v>39.0</v>
      </c>
      <c r="N94" s="278">
        <v>39.0</v>
      </c>
      <c r="O94" s="278">
        <v>39.0</v>
      </c>
      <c r="P94" s="278">
        <v>39.0</v>
      </c>
      <c r="Q94" s="278">
        <v>39.0</v>
      </c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</row>
    <row r="95" ht="13.5" customHeight="1">
      <c r="A95" s="97"/>
      <c r="B95" s="97"/>
      <c r="C95" s="97"/>
      <c r="D95" s="97"/>
      <c r="E95" s="202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</row>
    <row r="96" ht="13.5" customHeight="1">
      <c r="A96" s="97"/>
      <c r="B96" s="97"/>
      <c r="C96" s="97"/>
      <c r="D96" s="97"/>
      <c r="E96" s="202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</row>
    <row r="97" ht="13.5" customHeight="1">
      <c r="A97" s="97"/>
      <c r="B97" s="97"/>
      <c r="C97" s="97"/>
      <c r="D97" s="97"/>
      <c r="E97" s="202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</row>
    <row r="98" ht="13.5" customHeight="1">
      <c r="A98" s="97"/>
      <c r="B98" s="97"/>
      <c r="C98" s="97"/>
      <c r="D98" s="97"/>
      <c r="E98" s="202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</row>
    <row r="99" ht="13.5" customHeight="1">
      <c r="A99" s="97"/>
      <c r="B99" s="97"/>
      <c r="C99" s="97"/>
      <c r="D99" s="97"/>
      <c r="E99" s="202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</row>
    <row r="100" ht="13.5" customHeight="1">
      <c r="A100" s="97"/>
      <c r="B100" s="97"/>
      <c r="C100" s="97"/>
      <c r="D100" s="97"/>
      <c r="E100" s="202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</row>
    <row r="101" ht="13.5" customHeight="1">
      <c r="A101" s="97"/>
      <c r="B101" s="97"/>
      <c r="C101" s="97"/>
      <c r="D101" s="97"/>
      <c r="E101" s="202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</row>
    <row r="102" ht="13.5" customHeight="1">
      <c r="A102" s="97"/>
      <c r="B102" s="97"/>
      <c r="C102" s="97"/>
      <c r="D102" s="97"/>
      <c r="E102" s="202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</row>
    <row r="103" ht="13.5" customHeight="1">
      <c r="A103" s="97"/>
      <c r="B103" s="97"/>
      <c r="C103" s="97"/>
      <c r="D103" s="97"/>
      <c r="E103" s="202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</row>
    <row r="104" ht="13.5" customHeight="1">
      <c r="A104" s="97"/>
      <c r="B104" s="97"/>
      <c r="C104" s="97"/>
      <c r="D104" s="97"/>
      <c r="E104" s="202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</row>
    <row r="105" ht="13.5" customHeight="1">
      <c r="A105" s="97"/>
      <c r="B105" s="97"/>
      <c r="C105" s="97"/>
      <c r="D105" s="97"/>
      <c r="E105" s="202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</row>
    <row r="106" ht="13.5" customHeight="1">
      <c r="A106" s="97"/>
      <c r="B106" s="97"/>
      <c r="C106" s="97"/>
      <c r="D106" s="97"/>
      <c r="E106" s="202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</row>
    <row r="107" ht="13.5" customHeight="1">
      <c r="A107" s="97"/>
      <c r="B107" s="97"/>
      <c r="C107" s="97"/>
      <c r="D107" s="97"/>
      <c r="E107" s="202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</row>
    <row r="108" ht="13.5" customHeight="1">
      <c r="A108" s="97"/>
      <c r="B108" s="97"/>
      <c r="C108" s="97"/>
      <c r="D108" s="97"/>
      <c r="E108" s="202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</row>
    <row r="109" ht="13.5" customHeight="1">
      <c r="A109" s="97"/>
      <c r="B109" s="97"/>
      <c r="C109" s="97"/>
      <c r="D109" s="97"/>
      <c r="E109" s="202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</row>
    <row r="110" ht="13.5" customHeight="1">
      <c r="A110" s="97"/>
      <c r="B110" s="97"/>
      <c r="C110" s="97"/>
      <c r="D110" s="97"/>
      <c r="E110" s="202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</row>
    <row r="111" ht="13.5" customHeight="1">
      <c r="A111" s="97"/>
      <c r="B111" s="97"/>
      <c r="C111" s="97"/>
      <c r="D111" s="97"/>
      <c r="E111" s="202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</row>
    <row r="112" ht="13.5" customHeight="1">
      <c r="A112" s="97"/>
      <c r="B112" s="97"/>
      <c r="C112" s="97"/>
      <c r="D112" s="97"/>
      <c r="E112" s="202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</row>
    <row r="113" ht="13.5" customHeight="1">
      <c r="A113" s="97"/>
      <c r="B113" s="97"/>
      <c r="C113" s="97"/>
      <c r="D113" s="97"/>
      <c r="E113" s="202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</row>
    <row r="114" ht="13.5" customHeight="1">
      <c r="A114" s="97"/>
      <c r="B114" s="97"/>
      <c r="C114" s="97"/>
      <c r="D114" s="97"/>
      <c r="E114" s="202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</row>
    <row r="115" ht="13.5" customHeight="1">
      <c r="A115" s="97"/>
      <c r="B115" s="97"/>
      <c r="C115" s="97"/>
      <c r="D115" s="97"/>
      <c r="E115" s="202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</row>
    <row r="116" ht="13.5" customHeight="1">
      <c r="A116" s="97"/>
      <c r="B116" s="97"/>
      <c r="C116" s="97"/>
      <c r="D116" s="97"/>
      <c r="E116" s="202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</row>
    <row r="117" ht="13.5" customHeight="1">
      <c r="A117" s="97"/>
      <c r="B117" s="97"/>
      <c r="C117" s="97"/>
      <c r="D117" s="97"/>
      <c r="E117" s="202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</row>
    <row r="118" ht="13.5" customHeight="1">
      <c r="A118" s="97"/>
      <c r="B118" s="97"/>
      <c r="C118" s="97"/>
      <c r="D118" s="97"/>
      <c r="E118" s="202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</row>
    <row r="119" ht="13.5" customHeight="1">
      <c r="A119" s="97"/>
      <c r="B119" s="97"/>
      <c r="C119" s="97"/>
      <c r="D119" s="97"/>
      <c r="E119" s="202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</row>
    <row r="120" ht="13.5" customHeight="1">
      <c r="A120" s="97"/>
      <c r="B120" s="97"/>
      <c r="C120" s="97"/>
      <c r="D120" s="97"/>
      <c r="E120" s="202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</row>
    <row r="121" ht="13.5" customHeight="1">
      <c r="A121" s="97"/>
      <c r="B121" s="97"/>
      <c r="C121" s="97"/>
      <c r="D121" s="97"/>
      <c r="E121" s="202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</row>
    <row r="122" ht="13.5" customHeight="1">
      <c r="A122" s="97"/>
      <c r="B122" s="97"/>
      <c r="C122" s="97"/>
      <c r="D122" s="97"/>
      <c r="E122" s="202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</row>
    <row r="123" ht="13.5" customHeight="1">
      <c r="A123" s="97"/>
      <c r="B123" s="97"/>
      <c r="C123" s="97"/>
      <c r="D123" s="97"/>
      <c r="E123" s="202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</row>
    <row r="124" ht="13.5" customHeight="1">
      <c r="A124" s="97"/>
      <c r="B124" s="97"/>
      <c r="C124" s="97"/>
      <c r="D124" s="97"/>
      <c r="E124" s="202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</row>
    <row r="125" ht="13.5" customHeight="1">
      <c r="A125" s="97"/>
      <c r="B125" s="97"/>
      <c r="C125" s="97"/>
      <c r="D125" s="97"/>
      <c r="E125" s="202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</row>
    <row r="126" ht="13.5" customHeight="1">
      <c r="A126" s="97"/>
      <c r="B126" s="97"/>
      <c r="C126" s="97"/>
      <c r="D126" s="97"/>
      <c r="E126" s="202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</row>
    <row r="127" ht="13.5" customHeight="1">
      <c r="A127" s="97"/>
      <c r="B127" s="97"/>
      <c r="C127" s="97"/>
      <c r="D127" s="97"/>
      <c r="E127" s="202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</row>
    <row r="128" ht="13.5" customHeight="1">
      <c r="A128" s="97"/>
      <c r="B128" s="97"/>
      <c r="C128" s="97"/>
      <c r="D128" s="97"/>
      <c r="E128" s="202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</row>
    <row r="129" ht="13.5" customHeight="1">
      <c r="A129" s="97"/>
      <c r="B129" s="97"/>
      <c r="C129" s="97"/>
      <c r="D129" s="97"/>
      <c r="E129" s="202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</row>
    <row r="130" ht="13.5" customHeight="1">
      <c r="A130" s="97"/>
      <c r="B130" s="97"/>
      <c r="C130" s="97"/>
      <c r="D130" s="97"/>
      <c r="E130" s="202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</row>
    <row r="131" ht="13.5" customHeight="1">
      <c r="A131" s="97"/>
      <c r="B131" s="97"/>
      <c r="C131" s="97"/>
      <c r="D131" s="97"/>
      <c r="E131" s="202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</row>
    <row r="132" ht="13.5" customHeight="1">
      <c r="A132" s="97"/>
      <c r="B132" s="97"/>
      <c r="C132" s="97"/>
      <c r="D132" s="97"/>
      <c r="E132" s="202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</row>
    <row r="133" ht="13.5" customHeight="1">
      <c r="A133" s="97"/>
      <c r="B133" s="97"/>
      <c r="C133" s="97"/>
      <c r="D133" s="97"/>
      <c r="E133" s="202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</row>
    <row r="134" ht="13.5" customHeight="1">
      <c r="A134" s="97"/>
      <c r="B134" s="97"/>
      <c r="C134" s="97"/>
      <c r="D134" s="97"/>
      <c r="E134" s="202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</row>
    <row r="135" ht="13.5" customHeight="1">
      <c r="A135" s="97"/>
      <c r="B135" s="97"/>
      <c r="C135" s="97"/>
      <c r="D135" s="97"/>
      <c r="E135" s="202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</row>
    <row r="136" ht="13.5" customHeight="1">
      <c r="A136" s="97"/>
      <c r="B136" s="97"/>
      <c r="C136" s="97"/>
      <c r="D136" s="97"/>
      <c r="E136" s="202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</row>
    <row r="137" ht="13.5" customHeight="1">
      <c r="A137" s="97"/>
      <c r="B137" s="97"/>
      <c r="C137" s="97"/>
      <c r="D137" s="97"/>
      <c r="E137" s="202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</row>
    <row r="138" ht="13.5" customHeight="1">
      <c r="A138" s="97"/>
      <c r="B138" s="97"/>
      <c r="C138" s="97"/>
      <c r="D138" s="97"/>
      <c r="E138" s="202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</row>
    <row r="139" ht="13.5" customHeight="1">
      <c r="A139" s="97"/>
      <c r="B139" s="97"/>
      <c r="C139" s="97"/>
      <c r="D139" s="97"/>
      <c r="E139" s="202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</row>
    <row r="140" ht="13.5" customHeight="1">
      <c r="A140" s="97"/>
      <c r="B140" s="97"/>
      <c r="C140" s="97"/>
      <c r="D140" s="97"/>
      <c r="E140" s="202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</row>
    <row r="141" ht="13.5" customHeight="1">
      <c r="A141" s="97"/>
      <c r="B141" s="97"/>
      <c r="C141" s="97"/>
      <c r="D141" s="97"/>
      <c r="E141" s="202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</row>
    <row r="142" ht="13.5" customHeight="1">
      <c r="A142" s="97"/>
      <c r="B142" s="97"/>
      <c r="C142" s="97"/>
      <c r="D142" s="97"/>
      <c r="E142" s="202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</row>
    <row r="143" ht="13.5" customHeight="1">
      <c r="A143" s="97"/>
      <c r="B143" s="97"/>
      <c r="C143" s="97"/>
      <c r="D143" s="97"/>
      <c r="E143" s="202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</row>
    <row r="144" ht="13.5" customHeight="1">
      <c r="A144" s="97"/>
      <c r="B144" s="97"/>
      <c r="C144" s="97"/>
      <c r="D144" s="97"/>
      <c r="E144" s="202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</row>
    <row r="145" ht="13.5" customHeight="1">
      <c r="A145" s="97"/>
      <c r="B145" s="97"/>
      <c r="C145" s="97"/>
      <c r="D145" s="97"/>
      <c r="E145" s="202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</row>
    <row r="146" ht="13.5" customHeight="1">
      <c r="A146" s="97"/>
      <c r="B146" s="97"/>
      <c r="C146" s="97"/>
      <c r="D146" s="97"/>
      <c r="E146" s="202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</row>
    <row r="147" ht="13.5" customHeight="1">
      <c r="A147" s="97"/>
      <c r="B147" s="97"/>
      <c r="C147" s="97"/>
      <c r="D147" s="97"/>
      <c r="E147" s="202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</row>
    <row r="148" ht="13.5" customHeight="1">
      <c r="A148" s="97"/>
      <c r="B148" s="97"/>
      <c r="C148" s="97"/>
      <c r="D148" s="97"/>
      <c r="E148" s="202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</row>
    <row r="149" ht="13.5" customHeight="1">
      <c r="A149" s="97"/>
      <c r="B149" s="97"/>
      <c r="C149" s="97"/>
      <c r="D149" s="97"/>
      <c r="E149" s="202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</row>
    <row r="150" ht="13.5" customHeight="1">
      <c r="A150" s="97"/>
      <c r="B150" s="97"/>
      <c r="C150" s="97"/>
      <c r="D150" s="97"/>
      <c r="E150" s="202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</row>
    <row r="151" ht="13.5" customHeight="1">
      <c r="A151" s="97"/>
      <c r="B151" s="97"/>
      <c r="C151" s="97"/>
      <c r="D151" s="97"/>
      <c r="E151" s="202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</row>
    <row r="152" ht="13.5" customHeight="1">
      <c r="A152" s="97"/>
      <c r="B152" s="97"/>
      <c r="C152" s="97"/>
      <c r="D152" s="97"/>
      <c r="E152" s="202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</row>
    <row r="153" ht="13.5" customHeight="1">
      <c r="A153" s="97"/>
      <c r="B153" s="97"/>
      <c r="C153" s="97"/>
      <c r="D153" s="97"/>
      <c r="E153" s="202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</row>
    <row r="154" ht="13.5" customHeight="1">
      <c r="A154" s="97"/>
      <c r="B154" s="97"/>
      <c r="C154" s="97"/>
      <c r="D154" s="97"/>
      <c r="E154" s="202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</row>
    <row r="155" ht="13.5" customHeight="1">
      <c r="A155" s="97"/>
      <c r="B155" s="97"/>
      <c r="C155" s="97"/>
      <c r="D155" s="97"/>
      <c r="E155" s="202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</row>
    <row r="156" ht="13.5" customHeight="1">
      <c r="A156" s="97"/>
      <c r="B156" s="97"/>
      <c r="C156" s="97"/>
      <c r="D156" s="97"/>
      <c r="E156" s="202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</row>
    <row r="157" ht="13.5" customHeight="1">
      <c r="A157" s="97"/>
      <c r="B157" s="97"/>
      <c r="C157" s="97"/>
      <c r="D157" s="97"/>
      <c r="E157" s="202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</row>
    <row r="158" ht="13.5" customHeight="1">
      <c r="A158" s="97"/>
      <c r="B158" s="97"/>
      <c r="C158" s="97"/>
      <c r="D158" s="97"/>
      <c r="E158" s="202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</row>
    <row r="159" ht="13.5" customHeight="1">
      <c r="A159" s="97"/>
      <c r="B159" s="97"/>
      <c r="C159" s="97"/>
      <c r="D159" s="97"/>
      <c r="E159" s="202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</row>
    <row r="160" ht="13.5" customHeight="1">
      <c r="A160" s="97"/>
      <c r="B160" s="97"/>
      <c r="C160" s="97"/>
      <c r="D160" s="97"/>
      <c r="E160" s="202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</row>
    <row r="161" ht="13.5" customHeight="1">
      <c r="A161" s="97"/>
      <c r="B161" s="97"/>
      <c r="C161" s="97"/>
      <c r="D161" s="97"/>
      <c r="E161" s="202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</row>
    <row r="162" ht="13.5" customHeight="1">
      <c r="A162" s="97"/>
      <c r="B162" s="97"/>
      <c r="C162" s="97"/>
      <c r="D162" s="97"/>
      <c r="E162" s="202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</row>
    <row r="163" ht="13.5" customHeight="1">
      <c r="A163" s="97"/>
      <c r="B163" s="97"/>
      <c r="C163" s="97"/>
      <c r="D163" s="97"/>
      <c r="E163" s="202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</row>
    <row r="164" ht="13.5" customHeight="1">
      <c r="A164" s="97"/>
      <c r="B164" s="97"/>
      <c r="C164" s="97"/>
      <c r="D164" s="97"/>
      <c r="E164" s="202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</row>
    <row r="165" ht="13.5" customHeight="1">
      <c r="A165" s="97"/>
      <c r="B165" s="97"/>
      <c r="C165" s="97"/>
      <c r="D165" s="97"/>
      <c r="E165" s="202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</row>
    <row r="166" ht="13.5" customHeight="1">
      <c r="A166" s="97"/>
      <c r="B166" s="97"/>
      <c r="C166" s="97"/>
      <c r="D166" s="97"/>
      <c r="E166" s="202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</row>
    <row r="167" ht="13.5" customHeight="1">
      <c r="A167" s="97"/>
      <c r="B167" s="97"/>
      <c r="C167" s="97"/>
      <c r="D167" s="97"/>
      <c r="E167" s="202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</row>
    <row r="168" ht="13.5" customHeight="1">
      <c r="A168" s="97"/>
      <c r="B168" s="97"/>
      <c r="C168" s="97"/>
      <c r="D168" s="97"/>
      <c r="E168" s="202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</row>
    <row r="169" ht="13.5" customHeight="1">
      <c r="A169" s="97"/>
      <c r="B169" s="97"/>
      <c r="C169" s="97"/>
      <c r="D169" s="97"/>
      <c r="E169" s="202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</row>
    <row r="170" ht="13.5" customHeight="1">
      <c r="A170" s="97"/>
      <c r="B170" s="97"/>
      <c r="C170" s="97"/>
      <c r="D170" s="97"/>
      <c r="E170" s="202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</row>
    <row r="171" ht="13.5" customHeight="1">
      <c r="A171" s="97"/>
      <c r="B171" s="97"/>
      <c r="C171" s="97"/>
      <c r="D171" s="97"/>
      <c r="E171" s="202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</row>
    <row r="172" ht="13.5" customHeight="1">
      <c r="A172" s="97"/>
      <c r="B172" s="97"/>
      <c r="C172" s="97"/>
      <c r="D172" s="97"/>
      <c r="E172" s="202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</row>
    <row r="173" ht="13.5" customHeight="1">
      <c r="A173" s="97"/>
      <c r="B173" s="97"/>
      <c r="C173" s="97"/>
      <c r="D173" s="97"/>
      <c r="E173" s="202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</row>
    <row r="174" ht="13.5" customHeight="1">
      <c r="A174" s="97"/>
      <c r="B174" s="97"/>
      <c r="C174" s="97"/>
      <c r="D174" s="97"/>
      <c r="E174" s="202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</row>
    <row r="175" ht="13.5" customHeight="1">
      <c r="A175" s="97"/>
      <c r="B175" s="97"/>
      <c r="C175" s="97"/>
      <c r="D175" s="97"/>
      <c r="E175" s="202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</row>
    <row r="176" ht="13.5" customHeight="1">
      <c r="A176" s="97"/>
      <c r="B176" s="97"/>
      <c r="C176" s="97"/>
      <c r="D176" s="97"/>
      <c r="E176" s="202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</row>
    <row r="177" ht="13.5" customHeight="1">
      <c r="A177" s="97"/>
      <c r="B177" s="97"/>
      <c r="C177" s="97"/>
      <c r="D177" s="97"/>
      <c r="E177" s="202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</row>
    <row r="178" ht="13.5" customHeight="1">
      <c r="A178" s="97"/>
      <c r="B178" s="97"/>
      <c r="C178" s="97"/>
      <c r="D178" s="97"/>
      <c r="E178" s="202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</row>
  </sheetData>
  <mergeCells count="4">
    <mergeCell ref="D1:Q1"/>
    <mergeCell ref="C35:C38"/>
    <mergeCell ref="D46:Q46"/>
    <mergeCell ref="C80:C83"/>
  </mergeCell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1.22" defaultRowHeight="15.0"/>
  <cols>
    <col customWidth="1" min="1" max="1" width="13.44"/>
    <col customWidth="1" min="2" max="3" width="0.33"/>
    <col customWidth="1" min="4" max="4" width="34.22"/>
    <col customWidth="1" min="5" max="6" width="10.44"/>
    <col customWidth="1" min="7" max="7" width="11.22"/>
    <col customWidth="1" min="8" max="11" width="10.44"/>
    <col customWidth="1" min="12" max="12" width="11.89"/>
    <col customWidth="1" min="13" max="13" width="11.22"/>
    <col customWidth="1" min="14" max="15" width="11.67"/>
    <col customWidth="1" min="16" max="16" width="11.89"/>
    <col customWidth="1" min="17" max="38" width="13.44"/>
  </cols>
  <sheetData>
    <row r="1">
      <c r="A1" s="194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6"/>
      <c r="Q1" s="198" t="s">
        <v>137</v>
      </c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194"/>
      <c r="AD1" s="194"/>
      <c r="AE1" s="194"/>
      <c r="AF1" s="194"/>
      <c r="AG1" s="194"/>
      <c r="AH1" s="194"/>
      <c r="AI1" s="194"/>
      <c r="AJ1" s="194"/>
      <c r="AK1" s="194"/>
      <c r="AL1" s="194"/>
    </row>
    <row r="2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6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</row>
    <row r="3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6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194"/>
      <c r="AD3" s="194"/>
      <c r="AE3" s="194"/>
      <c r="AF3" s="194"/>
      <c r="AG3" s="194"/>
      <c r="AH3" s="194"/>
      <c r="AI3" s="194"/>
      <c r="AJ3" s="194"/>
      <c r="AK3" s="194"/>
      <c r="AL3" s="194"/>
    </row>
    <row r="4">
      <c r="A4" s="194"/>
      <c r="B4" s="194"/>
      <c r="C4" s="194"/>
      <c r="D4" s="203"/>
      <c r="E4" s="205">
        <v>42370.0</v>
      </c>
      <c r="F4" s="205">
        <v>42401.0</v>
      </c>
      <c r="G4" s="205">
        <v>42430.0</v>
      </c>
      <c r="H4" s="205">
        <v>42461.0</v>
      </c>
      <c r="I4" s="205">
        <v>42491.0</v>
      </c>
      <c r="J4" s="205">
        <v>42522.0</v>
      </c>
      <c r="K4" s="205">
        <v>42552.0</v>
      </c>
      <c r="L4" s="205">
        <v>42583.0</v>
      </c>
      <c r="M4" s="205">
        <v>42614.0</v>
      </c>
      <c r="N4" s="205">
        <v>42644.0</v>
      </c>
      <c r="O4" s="205">
        <v>42675.0</v>
      </c>
      <c r="P4" s="207">
        <v>42705.0</v>
      </c>
      <c r="Q4" s="205">
        <v>42736.0</v>
      </c>
      <c r="R4" s="205">
        <v>42767.0</v>
      </c>
      <c r="S4" s="205">
        <v>42795.0</v>
      </c>
      <c r="T4" s="205">
        <v>42826.0</v>
      </c>
      <c r="U4" s="205">
        <v>42856.0</v>
      </c>
      <c r="V4" s="205">
        <v>42887.0</v>
      </c>
      <c r="W4" s="205">
        <v>42917.0</v>
      </c>
      <c r="X4" s="205">
        <v>42948.0</v>
      </c>
      <c r="Y4" s="205">
        <v>42979.0</v>
      </c>
      <c r="Z4" s="205">
        <v>43009.0</v>
      </c>
      <c r="AA4" s="205">
        <v>43040.0</v>
      </c>
      <c r="AB4" s="205">
        <v>43070.0</v>
      </c>
      <c r="AC4" s="194"/>
      <c r="AD4" s="194"/>
      <c r="AE4" s="194"/>
      <c r="AF4" s="194"/>
      <c r="AG4" s="194"/>
      <c r="AH4" s="194"/>
      <c r="AI4" s="194"/>
      <c r="AJ4" s="194"/>
      <c r="AK4" s="194"/>
      <c r="AL4" s="194"/>
    </row>
    <row r="5">
      <c r="A5" s="194"/>
      <c r="B5" s="194"/>
      <c r="C5" s="194"/>
      <c r="D5" s="211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213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194"/>
      <c r="AD5" s="194"/>
      <c r="AE5" s="194"/>
      <c r="AF5" s="194"/>
      <c r="AG5" s="194"/>
      <c r="AH5" s="194"/>
      <c r="AI5" s="194"/>
      <c r="AJ5" s="194"/>
      <c r="AK5" s="194"/>
      <c r="AL5" s="194"/>
    </row>
    <row r="6">
      <c r="A6" s="194"/>
      <c r="B6" s="194"/>
      <c r="C6" s="203"/>
      <c r="D6" s="214" t="s">
        <v>139</v>
      </c>
      <c r="E6" s="216">
        <v>2200.0</v>
      </c>
      <c r="F6" s="218">
        <f t="shared" ref="F6:AB6" si="1">E62</f>
        <v>2942.19</v>
      </c>
      <c r="G6" s="218">
        <f t="shared" si="1"/>
        <v>3747.38</v>
      </c>
      <c r="H6" s="218">
        <f t="shared" si="1"/>
        <v>4982.64</v>
      </c>
      <c r="I6" s="218">
        <f t="shared" si="1"/>
        <v>5495.96</v>
      </c>
      <c r="J6" s="218">
        <f t="shared" si="1"/>
        <v>5959.01</v>
      </c>
      <c r="K6" s="218">
        <f t="shared" si="1"/>
        <v>5939.41</v>
      </c>
      <c r="L6" s="218">
        <f t="shared" si="1"/>
        <v>5477.35</v>
      </c>
      <c r="M6" s="218">
        <f t="shared" si="1"/>
        <v>4128.03</v>
      </c>
      <c r="N6" s="218">
        <f t="shared" si="1"/>
        <v>8177.7</v>
      </c>
      <c r="O6" s="218">
        <f t="shared" si="1"/>
        <v>10637.02</v>
      </c>
      <c r="P6" s="219">
        <f t="shared" si="1"/>
        <v>12741.38</v>
      </c>
      <c r="Q6" s="218">
        <f t="shared" si="1"/>
        <v>4113.22</v>
      </c>
      <c r="R6" s="218">
        <f t="shared" si="1"/>
        <v>22653.63247</v>
      </c>
      <c r="S6" s="218">
        <f t="shared" si="1"/>
        <v>19671.43493</v>
      </c>
      <c r="T6" s="218">
        <f t="shared" si="1"/>
        <v>13445.0774</v>
      </c>
      <c r="U6" s="218">
        <f t="shared" si="1"/>
        <v>8732.219866</v>
      </c>
      <c r="V6" s="218">
        <f t="shared" si="1"/>
        <v>9298.862333</v>
      </c>
      <c r="W6" s="218">
        <f t="shared" si="1"/>
        <v>10749.43041</v>
      </c>
      <c r="X6" s="218">
        <f t="shared" si="1"/>
        <v>9392.434842</v>
      </c>
      <c r="Y6" s="218">
        <f t="shared" si="1"/>
        <v>8105.939278</v>
      </c>
      <c r="Z6" s="218">
        <f t="shared" si="1"/>
        <v>10003.30735</v>
      </c>
      <c r="AA6" s="218">
        <f t="shared" si="1"/>
        <v>10523.67542</v>
      </c>
      <c r="AB6" s="221">
        <f t="shared" si="1"/>
        <v>10721.0435</v>
      </c>
      <c r="AC6" s="194"/>
      <c r="AD6" s="194"/>
      <c r="AE6" s="194"/>
      <c r="AF6" s="194"/>
      <c r="AG6" s="194"/>
      <c r="AH6" s="194"/>
      <c r="AI6" s="194"/>
      <c r="AJ6" s="194"/>
      <c r="AK6" s="194"/>
      <c r="AL6" s="194"/>
    </row>
    <row r="7">
      <c r="A7" s="194"/>
      <c r="B7" s="194"/>
      <c r="C7" s="203"/>
      <c r="D7" s="222" t="s">
        <v>141</v>
      </c>
      <c r="E7" s="223"/>
      <c r="Q7" s="223"/>
      <c r="AC7" s="194"/>
      <c r="AD7" s="194"/>
      <c r="AE7" s="194"/>
      <c r="AF7" s="194"/>
      <c r="AG7" s="194"/>
      <c r="AH7" s="194"/>
      <c r="AI7" s="194"/>
      <c r="AJ7" s="194"/>
      <c r="AK7" s="194"/>
      <c r="AL7" s="194"/>
    </row>
    <row r="8">
      <c r="A8" s="194"/>
      <c r="B8" s="194"/>
      <c r="C8" s="203"/>
      <c r="D8" s="224" t="s">
        <v>142</v>
      </c>
      <c r="AC8" s="194"/>
      <c r="AD8" s="194"/>
      <c r="AE8" s="194"/>
      <c r="AF8" s="194"/>
      <c r="AG8" s="194"/>
      <c r="AH8" s="194"/>
      <c r="AI8" s="194"/>
      <c r="AJ8" s="194"/>
      <c r="AK8" s="194"/>
      <c r="AL8" s="194"/>
    </row>
    <row r="9">
      <c r="A9" s="194"/>
      <c r="B9" s="194"/>
      <c r="C9" s="203"/>
      <c r="D9" s="225" t="s">
        <v>144</v>
      </c>
      <c r="E9" s="226">
        <f>'Prévisionnel 2017 SCN2'!F5</f>
        <v>2608.48</v>
      </c>
      <c r="F9" s="226">
        <f>'Prévisionnel 2017 SCN2'!G5</f>
        <v>2513.98</v>
      </c>
      <c r="G9" s="226">
        <f>'Prévisionnel 2017 SCN2'!H5</f>
        <v>3156.25</v>
      </c>
      <c r="H9" s="226">
        <f>'Prévisionnel 2017 SCN2'!I5</f>
        <v>3298.36</v>
      </c>
      <c r="I9" s="226">
        <f>'Prévisionnel 2017 SCN2'!J5</f>
        <v>3691.36</v>
      </c>
      <c r="J9" s="226">
        <f>'Prévisionnel 2017 SCN2'!K5</f>
        <v>4474.97</v>
      </c>
      <c r="K9" s="226">
        <f>'Prévisionnel 2017 SCN2'!L5</f>
        <v>2165.35</v>
      </c>
      <c r="L9" s="226">
        <f>'Prévisionnel 2017 SCN2'!M5</f>
        <v>2912.29</v>
      </c>
      <c r="M9" s="226">
        <f>'Prévisionnel 2017 SCN2'!N5</f>
        <v>5720.98</v>
      </c>
      <c r="N9" s="226">
        <f>'Prévisionnel 2017 SCN2'!O5</f>
        <v>5947.19</v>
      </c>
      <c r="O9" s="226">
        <f>'Prévisionnel 2017 SCN2'!P5</f>
        <v>8590.02</v>
      </c>
      <c r="P9" s="232">
        <f>'Prévisionnel 2017 SCN2'!Q5</f>
        <v>11401.95</v>
      </c>
      <c r="Q9" s="234">
        <f>'Prévisionnel 2017 SCN3'!F49</f>
        <v>9467.85</v>
      </c>
      <c r="R9" s="234">
        <f>'Prévisionnel 2017 SCN3'!G49</f>
        <v>16000</v>
      </c>
      <c r="S9" s="234">
        <f>'Prévisionnel 2017 SCN3'!H49</f>
        <v>16000</v>
      </c>
      <c r="T9" s="234">
        <f>'Prévisionnel 2017 SCN3'!I49</f>
        <v>16000</v>
      </c>
      <c r="U9" s="234">
        <f>'Prévisionnel 2017 SCN3'!J49</f>
        <v>16000</v>
      </c>
      <c r="V9" s="234">
        <f>'Prévisionnel 2017 SCN3'!K49</f>
        <v>16000</v>
      </c>
      <c r="W9" s="234">
        <f>'Prévisionnel 2017 SCN3'!L49</f>
        <v>8000</v>
      </c>
      <c r="X9" s="234">
        <f>'Prévisionnel 2017 SCN3'!M49</f>
        <v>8000</v>
      </c>
      <c r="Y9" s="234">
        <f>'Prévisionnel 2017 SCN3'!N49</f>
        <v>16000</v>
      </c>
      <c r="Z9" s="234">
        <f>'Prévisionnel 2017 SCN3'!O49</f>
        <v>16000</v>
      </c>
      <c r="AA9" s="234">
        <f>'Prévisionnel 2017 SCN3'!P49</f>
        <v>16000</v>
      </c>
      <c r="AB9" s="234">
        <f>'Prévisionnel 2017 SCN3'!Q49</f>
        <v>16000</v>
      </c>
      <c r="AC9" s="194"/>
      <c r="AD9" s="194"/>
      <c r="AE9" s="194"/>
      <c r="AF9" s="194"/>
      <c r="AG9" s="194"/>
      <c r="AH9" s="194"/>
      <c r="AI9" s="194"/>
      <c r="AJ9" s="194"/>
      <c r="AK9" s="194"/>
      <c r="AL9" s="194"/>
    </row>
    <row r="10">
      <c r="A10" s="194"/>
      <c r="B10" s="194"/>
      <c r="C10" s="203"/>
      <c r="D10" s="238" t="s">
        <v>147</v>
      </c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32"/>
      <c r="Q10" s="14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</row>
    <row r="11">
      <c r="A11" s="194"/>
      <c r="B11" s="194"/>
      <c r="C11" s="203"/>
      <c r="D11" s="241" t="s">
        <v>148</v>
      </c>
      <c r="E11" s="226">
        <f t="shared" ref="E11:AB11" si="2">SUM(E9:E10)</f>
        <v>2608.48</v>
      </c>
      <c r="F11" s="226">
        <f t="shared" si="2"/>
        <v>2513.98</v>
      </c>
      <c r="G11" s="226">
        <f t="shared" si="2"/>
        <v>3156.25</v>
      </c>
      <c r="H11" s="226">
        <f t="shared" si="2"/>
        <v>3298.36</v>
      </c>
      <c r="I11" s="226">
        <f t="shared" si="2"/>
        <v>3691.36</v>
      </c>
      <c r="J11" s="226">
        <f t="shared" si="2"/>
        <v>4474.97</v>
      </c>
      <c r="K11" s="226">
        <f t="shared" si="2"/>
        <v>2165.35</v>
      </c>
      <c r="L11" s="226">
        <f t="shared" si="2"/>
        <v>2912.29</v>
      </c>
      <c r="M11" s="226">
        <f t="shared" si="2"/>
        <v>5720.98</v>
      </c>
      <c r="N11" s="226">
        <f t="shared" si="2"/>
        <v>5947.19</v>
      </c>
      <c r="O11" s="226">
        <f t="shared" si="2"/>
        <v>8590.02</v>
      </c>
      <c r="P11" s="232">
        <f t="shared" si="2"/>
        <v>11401.95</v>
      </c>
      <c r="Q11" s="244">
        <f t="shared" si="2"/>
        <v>9467.85</v>
      </c>
      <c r="R11" s="245">
        <f t="shared" si="2"/>
        <v>16000</v>
      </c>
      <c r="S11" s="245">
        <f t="shared" si="2"/>
        <v>16000</v>
      </c>
      <c r="T11" s="245">
        <f t="shared" si="2"/>
        <v>16000</v>
      </c>
      <c r="U11" s="245">
        <f t="shared" si="2"/>
        <v>16000</v>
      </c>
      <c r="V11" s="245">
        <f t="shared" si="2"/>
        <v>16000</v>
      </c>
      <c r="W11" s="245">
        <f t="shared" si="2"/>
        <v>8000</v>
      </c>
      <c r="X11" s="245">
        <f t="shared" si="2"/>
        <v>8000</v>
      </c>
      <c r="Y11" s="245">
        <f t="shared" si="2"/>
        <v>16000</v>
      </c>
      <c r="Z11" s="245">
        <f t="shared" si="2"/>
        <v>16000</v>
      </c>
      <c r="AA11" s="245">
        <f t="shared" si="2"/>
        <v>16000</v>
      </c>
      <c r="AB11" s="245">
        <f t="shared" si="2"/>
        <v>16000</v>
      </c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</row>
    <row r="12">
      <c r="A12" s="194"/>
      <c r="B12" s="194"/>
      <c r="C12" s="203"/>
      <c r="D12" s="224" t="s">
        <v>152</v>
      </c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7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8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</row>
    <row r="13">
      <c r="A13" s="194"/>
      <c r="B13" s="194"/>
      <c r="C13" s="203"/>
      <c r="D13" s="225" t="s">
        <v>153</v>
      </c>
      <c r="E13" s="226"/>
      <c r="F13" s="226"/>
      <c r="G13" s="226"/>
      <c r="H13" s="226"/>
      <c r="I13" s="226"/>
      <c r="J13" s="226"/>
      <c r="K13" s="226"/>
      <c r="L13" s="226"/>
      <c r="M13" s="226">
        <f>'Prévisionnel 2017 SCN2'!N8</f>
        <v>2400</v>
      </c>
      <c r="N13" s="226">
        <f>'Prévisionnel 2017 SCN2'!O8</f>
        <v>2639.9</v>
      </c>
      <c r="O13" s="226">
        <f>'Prévisionnel 2017 SCN2'!P8</f>
        <v>1319.95</v>
      </c>
      <c r="P13" s="232">
        <f>'Prévisionnel 2017 SCN2'!Q8</f>
        <v>1319.95</v>
      </c>
      <c r="Q13" s="234">
        <f>'Prévisionnel 2017 SCN3'!F52</f>
        <v>1332.24</v>
      </c>
      <c r="R13" s="195">
        <f>'Prévisionnel 2017 SCN3'!G52</f>
        <v>1332.24</v>
      </c>
      <c r="S13" s="195">
        <f>'Prévisionnel 2017 SCN3'!H52</f>
        <v>2664.48</v>
      </c>
      <c r="T13" s="195">
        <f>'Prévisionnel 2017 SCN3'!I52</f>
        <v>2664.48</v>
      </c>
      <c r="U13" s="195">
        <f>'Prévisionnel 2017 SCN3'!J52</f>
        <v>2664.48</v>
      </c>
      <c r="V13" s="195">
        <f>'Prévisionnel 2017 SCN3'!K52</f>
        <v>2664.48</v>
      </c>
      <c r="W13" s="195">
        <f>'Prévisionnel 2017 SCN3'!L52</f>
        <v>2664.48</v>
      </c>
      <c r="X13" s="195">
        <f>'Prévisionnel 2017 SCN3'!M52</f>
        <v>2664.48</v>
      </c>
      <c r="Y13" s="195">
        <f>'Prévisionnel 2017 SCN3'!N52</f>
        <v>2664.48</v>
      </c>
      <c r="Z13" s="195">
        <f>'Prévisionnel 2017 SCN3'!O52</f>
        <v>2664.48</v>
      </c>
      <c r="AA13" s="195">
        <f>'Prévisionnel 2017 SCN3'!P52</f>
        <v>2664.48</v>
      </c>
      <c r="AB13" s="195">
        <f>'Prévisionnel 2017 SCN3'!Q52</f>
        <v>2664.48</v>
      </c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</row>
    <row r="14">
      <c r="A14" s="194"/>
      <c r="B14" s="194"/>
      <c r="C14" s="203"/>
      <c r="D14" s="249" t="s">
        <v>154</v>
      </c>
      <c r="E14" s="226">
        <f>'Prévisionnel 2017 SCN2'!F7</f>
        <v>0</v>
      </c>
      <c r="F14" s="226">
        <f>'Prévisionnel 2017 SCN2'!G7</f>
        <v>45</v>
      </c>
      <c r="G14" s="226">
        <f>'Prévisionnel 2017 SCN2'!H7</f>
        <v>40</v>
      </c>
      <c r="H14" s="226">
        <f>'Prévisionnel 2017 SCN2'!I7</f>
        <v>90</v>
      </c>
      <c r="I14" s="226">
        <f>'Prévisionnel 2017 SCN2'!J7</f>
        <v>50</v>
      </c>
      <c r="J14" s="226">
        <f>'Prévisionnel 2017 SCN2'!K7</f>
        <v>45</v>
      </c>
      <c r="K14" s="226">
        <f>'Prévisionnel 2017 SCN2'!L7</f>
        <v>0</v>
      </c>
      <c r="L14" s="226">
        <f>'Prévisionnel 2017 SCN2'!M7</f>
        <v>20</v>
      </c>
      <c r="M14" s="226">
        <f>'Prévisionnel 2017 SCN2'!N7</f>
        <v>105</v>
      </c>
      <c r="N14" s="226">
        <f>'Prévisionnel 2017 SCN2'!O7</f>
        <v>25</v>
      </c>
      <c r="O14" s="226">
        <f>'Prévisionnel 2017 SCN2'!P7</f>
        <v>185</v>
      </c>
      <c r="P14" s="232">
        <f>'Prévisionnel 2017 SCN2'!Q7</f>
        <v>30</v>
      </c>
      <c r="Q14" s="250">
        <f>'Prévisionnel 2017 SCN3'!F51</f>
        <v>23178</v>
      </c>
      <c r="R14" s="251">
        <f>'Prévisionnel 2017 SCN3'!G51</f>
        <v>65</v>
      </c>
      <c r="S14" s="251">
        <f>'Prévisionnel 2017 SCN3'!H51</f>
        <v>65</v>
      </c>
      <c r="T14" s="251">
        <f>'Prévisionnel 2017 SCN3'!I51</f>
        <v>65</v>
      </c>
      <c r="U14" s="251">
        <f>'Prévisionnel 2017 SCN3'!J51</f>
        <v>65</v>
      </c>
      <c r="V14" s="251">
        <f>'Prévisionnel 2017 SCN3'!K51</f>
        <v>65</v>
      </c>
      <c r="W14" s="251">
        <f>'Prévisionnel 2017 SCN3'!L51</f>
        <v>65</v>
      </c>
      <c r="X14" s="251">
        <f>'Prévisionnel 2017 SCN3'!M51</f>
        <v>65</v>
      </c>
      <c r="Y14" s="251">
        <f>'Prévisionnel 2017 SCN3'!N51</f>
        <v>65</v>
      </c>
      <c r="Z14" s="251">
        <f>'Prévisionnel 2017 SCN3'!O51</f>
        <v>65</v>
      </c>
      <c r="AA14" s="251">
        <f>'Prévisionnel 2017 SCN3'!P51</f>
        <v>65</v>
      </c>
      <c r="AB14" s="251">
        <f>'Prévisionnel 2017 SCN3'!Q51</f>
        <v>65</v>
      </c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</row>
    <row r="15">
      <c r="A15" s="194"/>
      <c r="B15" s="194"/>
      <c r="C15" s="203"/>
      <c r="D15" s="249" t="s">
        <v>24</v>
      </c>
      <c r="E15" s="226">
        <f>'Prévisionnel 2017 SCN2'!F6</f>
        <v>260</v>
      </c>
      <c r="F15" s="226">
        <f>'Prévisionnel 2017 SCN2'!G6</f>
        <v>940</v>
      </c>
      <c r="G15" s="226">
        <f>'Prévisionnel 2017 SCN2'!H6</f>
        <v>805</v>
      </c>
      <c r="H15" s="226">
        <f>'Prévisionnel 2017 SCN2'!I6</f>
        <v>735</v>
      </c>
      <c r="I15" s="226">
        <f>'Prévisionnel 2017 SCN2'!J6</f>
        <v>415</v>
      </c>
      <c r="J15" s="226">
        <f>'Prévisionnel 2017 SCN2'!K6</f>
        <v>435</v>
      </c>
      <c r="K15" s="226">
        <f>'Prévisionnel 2017 SCN2'!L6</f>
        <v>205</v>
      </c>
      <c r="L15" s="226">
        <f>'Prévisionnel 2017 SCN2'!M6</f>
        <v>235</v>
      </c>
      <c r="M15" s="226">
        <f>'Prévisionnel 2017 SCN2'!N6</f>
        <v>1115</v>
      </c>
      <c r="N15" s="226">
        <f>'Prévisionnel 2017 SCN2'!O6</f>
        <v>1580</v>
      </c>
      <c r="O15" s="226">
        <f>'Prévisionnel 2017 SCN2'!P6</f>
        <v>3210</v>
      </c>
      <c r="P15" s="232">
        <f>'Prévisionnel 2017 SCN2'!Q6</f>
        <v>1445</v>
      </c>
      <c r="Q15" s="234">
        <f>'Prévisionnel 2017 SCN3'!F50</f>
        <v>2510</v>
      </c>
      <c r="R15" s="195">
        <f>'Prévisionnel 2017 SCN3'!G50</f>
        <v>579.3</v>
      </c>
      <c r="S15" s="195">
        <f>'Prévisionnel 2017 SCN3'!H50</f>
        <v>579.3</v>
      </c>
      <c r="T15" s="195">
        <f>'Prévisionnel 2017 SCN3'!I50</f>
        <v>1982.8</v>
      </c>
      <c r="U15" s="195">
        <f>'Prévisionnel 2017 SCN3'!J50</f>
        <v>579.3</v>
      </c>
      <c r="V15" s="195">
        <f>'Prévisionnel 2017 SCN3'!K50</f>
        <v>400</v>
      </c>
      <c r="W15" s="195">
        <f>'Prévisionnel 2017 SCN3'!L50</f>
        <v>579.3</v>
      </c>
      <c r="X15" s="195">
        <f>'Prévisionnel 2017 SCN3'!M50</f>
        <v>579.3</v>
      </c>
      <c r="Y15" s="195">
        <f>'Prévisionnel 2017 SCN3'!N50</f>
        <v>579.3</v>
      </c>
      <c r="Z15" s="195">
        <f>'Prévisionnel 2017 SCN3'!O50</f>
        <v>1667.8</v>
      </c>
      <c r="AA15" s="195">
        <f>'Prévisionnel 2017 SCN3'!P50</f>
        <v>579.3</v>
      </c>
      <c r="AB15" s="195">
        <f>'Prévisionnel 2017 SCN3'!Q50</f>
        <v>579.3</v>
      </c>
      <c r="AC15" s="41"/>
      <c r="AD15" s="41"/>
      <c r="AE15" s="41"/>
      <c r="AF15" s="41"/>
      <c r="AG15" s="41"/>
      <c r="AH15" s="41"/>
      <c r="AI15" s="41"/>
      <c r="AJ15" s="41"/>
      <c r="AK15" s="41"/>
      <c r="AL15" s="194"/>
    </row>
    <row r="16">
      <c r="A16" s="194"/>
      <c r="B16" s="194"/>
      <c r="C16" s="203"/>
      <c r="D16" s="253" t="s">
        <v>156</v>
      </c>
      <c r="E16" s="254">
        <f t="shared" ref="E16:AB16" si="3">SUM(E13:E15)</f>
        <v>260</v>
      </c>
      <c r="F16" s="254">
        <f t="shared" si="3"/>
        <v>985</v>
      </c>
      <c r="G16" s="254">
        <f t="shared" si="3"/>
        <v>845</v>
      </c>
      <c r="H16" s="254">
        <f t="shared" si="3"/>
        <v>825</v>
      </c>
      <c r="I16" s="254">
        <f t="shared" si="3"/>
        <v>465</v>
      </c>
      <c r="J16" s="254">
        <f t="shared" si="3"/>
        <v>480</v>
      </c>
      <c r="K16" s="254">
        <f t="shared" si="3"/>
        <v>205</v>
      </c>
      <c r="L16" s="254">
        <f t="shared" si="3"/>
        <v>255</v>
      </c>
      <c r="M16" s="254">
        <f t="shared" si="3"/>
        <v>3620</v>
      </c>
      <c r="N16" s="254">
        <f t="shared" si="3"/>
        <v>4244.9</v>
      </c>
      <c r="O16" s="254">
        <f t="shared" si="3"/>
        <v>4714.95</v>
      </c>
      <c r="P16" s="255">
        <f t="shared" si="3"/>
        <v>2794.95</v>
      </c>
      <c r="Q16" s="234">
        <f t="shared" si="3"/>
        <v>27020.24</v>
      </c>
      <c r="R16" s="195">
        <f t="shared" si="3"/>
        <v>1976.54</v>
      </c>
      <c r="S16" s="195">
        <f t="shared" si="3"/>
        <v>3308.78</v>
      </c>
      <c r="T16" s="195">
        <f t="shared" si="3"/>
        <v>4712.28</v>
      </c>
      <c r="U16" s="195">
        <f t="shared" si="3"/>
        <v>3308.78</v>
      </c>
      <c r="V16" s="195">
        <f t="shared" si="3"/>
        <v>3129.48</v>
      </c>
      <c r="W16" s="195">
        <f t="shared" si="3"/>
        <v>3308.78</v>
      </c>
      <c r="X16" s="195">
        <f t="shared" si="3"/>
        <v>3308.78</v>
      </c>
      <c r="Y16" s="195">
        <f t="shared" si="3"/>
        <v>3308.78</v>
      </c>
      <c r="Z16" s="195">
        <f t="shared" si="3"/>
        <v>4397.28</v>
      </c>
      <c r="AA16" s="195">
        <f t="shared" si="3"/>
        <v>3308.78</v>
      </c>
      <c r="AB16" s="195">
        <f t="shared" si="3"/>
        <v>3308.78</v>
      </c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</row>
    <row r="17">
      <c r="A17" s="194"/>
      <c r="B17" s="194"/>
      <c r="C17" s="203"/>
      <c r="D17" s="256" t="s">
        <v>157</v>
      </c>
      <c r="E17" s="257">
        <f t="shared" ref="E17:AB17" si="4">E11+E16</f>
        <v>2868.48</v>
      </c>
      <c r="F17" s="257">
        <f t="shared" si="4"/>
        <v>3498.98</v>
      </c>
      <c r="G17" s="257">
        <f t="shared" si="4"/>
        <v>4001.25</v>
      </c>
      <c r="H17" s="257">
        <f t="shared" si="4"/>
        <v>4123.36</v>
      </c>
      <c r="I17" s="257">
        <f t="shared" si="4"/>
        <v>4156.36</v>
      </c>
      <c r="J17" s="257">
        <f t="shared" si="4"/>
        <v>4954.97</v>
      </c>
      <c r="K17" s="257">
        <f t="shared" si="4"/>
        <v>2370.35</v>
      </c>
      <c r="L17" s="257">
        <f t="shared" si="4"/>
        <v>3167.29</v>
      </c>
      <c r="M17" s="257">
        <f t="shared" si="4"/>
        <v>9340.98</v>
      </c>
      <c r="N17" s="257">
        <f t="shared" si="4"/>
        <v>10192.09</v>
      </c>
      <c r="O17" s="257">
        <f t="shared" si="4"/>
        <v>13304.97</v>
      </c>
      <c r="P17" s="258">
        <f t="shared" si="4"/>
        <v>14196.9</v>
      </c>
      <c r="Q17" s="257">
        <f t="shared" si="4"/>
        <v>36488.09</v>
      </c>
      <c r="R17" s="257">
        <f t="shared" si="4"/>
        <v>17976.54</v>
      </c>
      <c r="S17" s="257">
        <f t="shared" si="4"/>
        <v>19308.78</v>
      </c>
      <c r="T17" s="257">
        <f t="shared" si="4"/>
        <v>20712.28</v>
      </c>
      <c r="U17" s="257">
        <f t="shared" si="4"/>
        <v>19308.78</v>
      </c>
      <c r="V17" s="257">
        <f t="shared" si="4"/>
        <v>19129.48</v>
      </c>
      <c r="W17" s="257">
        <f t="shared" si="4"/>
        <v>11308.78</v>
      </c>
      <c r="X17" s="257">
        <f t="shared" si="4"/>
        <v>11308.78</v>
      </c>
      <c r="Y17" s="257">
        <f t="shared" si="4"/>
        <v>19308.78</v>
      </c>
      <c r="Z17" s="257">
        <f t="shared" si="4"/>
        <v>20397.28</v>
      </c>
      <c r="AA17" s="257">
        <f t="shared" si="4"/>
        <v>19308.78</v>
      </c>
      <c r="AB17" s="259">
        <f t="shared" si="4"/>
        <v>19308.78</v>
      </c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</row>
    <row r="18">
      <c r="A18" s="194"/>
      <c r="B18" s="194"/>
      <c r="C18" s="203"/>
      <c r="D18" s="260"/>
      <c r="E18" s="1"/>
      <c r="Q18" s="1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</row>
    <row r="19">
      <c r="A19" s="194"/>
      <c r="B19" s="194"/>
      <c r="C19" s="203"/>
      <c r="D19" s="214" t="s">
        <v>158</v>
      </c>
      <c r="E19" s="1"/>
      <c r="Q19" s="1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</row>
    <row r="20">
      <c r="A20" s="194"/>
      <c r="B20" s="194"/>
      <c r="C20" s="203"/>
      <c r="D20" s="224" t="s">
        <v>142</v>
      </c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</row>
    <row r="21">
      <c r="A21" s="194"/>
      <c r="B21" s="194"/>
      <c r="C21" s="203"/>
      <c r="D21" s="225" t="s">
        <v>159</v>
      </c>
      <c r="E21" s="195">
        <f>'Prévisionnel 2017 SCN2'!F19</f>
        <v>2052.17</v>
      </c>
      <c r="F21" s="195">
        <f>'Prévisionnel 2017 SCN2'!G19</f>
        <v>2632.85</v>
      </c>
      <c r="G21" s="195">
        <f>'Prévisionnel 2017 SCN2'!H19</f>
        <v>2718.69</v>
      </c>
      <c r="H21" s="195">
        <f>'Prévisionnel 2017 SCN2'!I19</f>
        <v>3501.68</v>
      </c>
      <c r="I21" s="195">
        <f>'Prévisionnel 2017 SCN2'!J19</f>
        <v>3254.84</v>
      </c>
      <c r="J21" s="195">
        <f>'Prévisionnel 2017 SCN2'!K19</f>
        <v>3496.88</v>
      </c>
      <c r="K21" s="195">
        <f>'Prévisionnel 2017 SCN2'!L19</f>
        <v>1901.82</v>
      </c>
      <c r="L21" s="195">
        <f>'Prévisionnel 2017 SCN2'!M19</f>
        <v>2222.31</v>
      </c>
      <c r="M21" s="195">
        <f>'Prévisionnel 2017 SCN2'!N19</f>
        <v>4826.15</v>
      </c>
      <c r="N21" s="195">
        <f>'Prévisionnel 2017 SCN2'!O19</f>
        <v>5957.03</v>
      </c>
      <c r="O21" s="195">
        <f>'Prévisionnel 2017 SCN2'!P19</f>
        <v>7142.99</v>
      </c>
      <c r="P21" s="261">
        <f>'Prévisionnel 2017 SCN2'!Q19</f>
        <v>10401.23</v>
      </c>
      <c r="Q21" s="262">
        <f>'Prévisionnel 2017 SCN3'!F64</f>
        <v>11870.81</v>
      </c>
      <c r="R21" s="262">
        <f>'Prévisionnel 2017 SCN3'!G64</f>
        <v>13120</v>
      </c>
      <c r="S21" s="262">
        <f>'Prévisionnel 2017 SCN3'!H64</f>
        <v>13120</v>
      </c>
      <c r="T21" s="262">
        <f>'Prévisionnel 2017 SCN3'!I64</f>
        <v>13120</v>
      </c>
      <c r="U21" s="262">
        <f>'Prévisionnel 2017 SCN3'!J64</f>
        <v>13120</v>
      </c>
      <c r="V21" s="262">
        <f>'Prévisionnel 2017 SCN3'!K64</f>
        <v>13120</v>
      </c>
      <c r="W21" s="262">
        <f>'Prévisionnel 2017 SCN3'!L64</f>
        <v>6560</v>
      </c>
      <c r="X21" s="262">
        <f>'Prévisionnel 2017 SCN3'!M64</f>
        <v>6560</v>
      </c>
      <c r="Y21" s="262">
        <f>'Prévisionnel 2017 SCN3'!N64</f>
        <v>13120</v>
      </c>
      <c r="Z21" s="262">
        <f>'Prévisionnel 2017 SCN3'!O64</f>
        <v>13120</v>
      </c>
      <c r="AA21" s="262">
        <f>'Prévisionnel 2017 SCN3'!P64</f>
        <v>13120</v>
      </c>
      <c r="AB21" s="262">
        <f>'Prévisionnel 2017 SCN3'!Q64</f>
        <v>13120</v>
      </c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</row>
    <row r="22">
      <c r="A22" s="194"/>
      <c r="B22" s="194"/>
      <c r="C22" s="203"/>
      <c r="D22" s="225" t="s">
        <v>160</v>
      </c>
      <c r="E22" s="195"/>
      <c r="F22" s="195"/>
      <c r="G22" s="195"/>
      <c r="H22" s="195"/>
      <c r="I22" s="195"/>
      <c r="J22" s="195"/>
      <c r="K22" s="195"/>
      <c r="L22" s="195"/>
      <c r="M22" s="195"/>
      <c r="N22" s="195">
        <f>'Prévisionnel 2017 SCN2'!O15</f>
        <v>109.4</v>
      </c>
      <c r="O22" s="195">
        <f>'Prévisionnel 2017 SCN2'!P15</f>
        <v>121.8</v>
      </c>
      <c r="P22" s="261"/>
      <c r="Q22" s="234">
        <f>'Prévisionnel 2017 SCN3'!F60</f>
        <v>1555.32</v>
      </c>
      <c r="R22" s="195">
        <f>'Prévisionnel 2017 SCN3'!G60</f>
        <v>1350</v>
      </c>
      <c r="S22" s="195">
        <f>'Prévisionnel 2017 SCN3'!H60</f>
        <v>50</v>
      </c>
      <c r="T22" s="195">
        <f>'Prévisionnel 2017 SCN3'!I60</f>
        <v>50</v>
      </c>
      <c r="U22" s="195">
        <f>'Prévisionnel 2017 SCN3'!J60</f>
        <v>50</v>
      </c>
      <c r="V22" s="195">
        <f>'Prévisionnel 2017 SCN3'!K60</f>
        <v>50</v>
      </c>
      <c r="W22" s="195">
        <f>'Prévisionnel 2017 SCN3'!L60</f>
        <v>50</v>
      </c>
      <c r="X22" s="195">
        <f>'Prévisionnel 2017 SCN3'!M60</f>
        <v>50</v>
      </c>
      <c r="Y22" s="195">
        <f>'Prévisionnel 2017 SCN3'!N60</f>
        <v>50</v>
      </c>
      <c r="Z22" s="195">
        <f>'Prévisionnel 2017 SCN3'!O60</f>
        <v>50</v>
      </c>
      <c r="AA22" s="195">
        <f>'Prévisionnel 2017 SCN3'!P60</f>
        <v>50</v>
      </c>
      <c r="AB22" s="195">
        <f>'Prévisionnel 2017 SCN3'!Q60</f>
        <v>50</v>
      </c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</row>
    <row r="23">
      <c r="A23" s="194"/>
      <c r="B23" s="194"/>
      <c r="C23" s="203"/>
      <c r="D23" s="225" t="s">
        <v>161</v>
      </c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5"/>
      <c r="Q23" s="234">
        <f>54.91</f>
        <v>54.91</v>
      </c>
      <c r="R23" s="195"/>
      <c r="S23" s="195"/>
      <c r="T23" s="195">
        <v>130.0</v>
      </c>
      <c r="U23" s="195"/>
      <c r="V23" s="195"/>
      <c r="W23" s="195"/>
      <c r="X23" s="195"/>
      <c r="Y23" s="195"/>
      <c r="Z23" s="195">
        <v>130.0</v>
      </c>
      <c r="AA23" s="195"/>
      <c r="AB23" s="195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</row>
    <row r="24">
      <c r="A24" s="194"/>
      <c r="B24" s="194"/>
      <c r="C24" s="203"/>
      <c r="D24" s="225" t="s">
        <v>162</v>
      </c>
      <c r="E24" s="195"/>
      <c r="F24" s="195"/>
      <c r="G24" s="195"/>
      <c r="H24" s="195"/>
      <c r="I24" s="195"/>
      <c r="J24" s="195"/>
      <c r="K24" s="195"/>
      <c r="L24" s="195">
        <f>'Prévisionnel 2017 SCN2'!M16</f>
        <v>94.06</v>
      </c>
      <c r="M24" s="195"/>
      <c r="N24" s="195">
        <f>'Prévisionnel 2017 SCN2'!O16</f>
        <v>272.02</v>
      </c>
      <c r="O24" s="195"/>
      <c r="P24" s="261">
        <f>'Prévisionnel 2017 SCN2'!Q16</f>
        <v>130.11</v>
      </c>
      <c r="Q24" s="234">
        <f>'Prévisionnel 2017 SCN3'!F61</f>
        <v>0</v>
      </c>
      <c r="R24" s="195">
        <f>'Prévisionnel 2017 SCN3'!G61</f>
        <v>333</v>
      </c>
      <c r="S24" s="195" t="str">
        <f>'Prévisionnel 2017 SCN3'!H61</f>
        <v/>
      </c>
      <c r="T24" s="195">
        <f>'Prévisionnel 2017 SCN3'!I61</f>
        <v>333</v>
      </c>
      <c r="U24" s="195" t="str">
        <f>'Prévisionnel 2017 SCN3'!J61</f>
        <v/>
      </c>
      <c r="V24" s="195">
        <f>'Prévisionnel 2017 SCN3'!K61</f>
        <v>333</v>
      </c>
      <c r="W24" s="195" t="str">
        <f>'Prévisionnel 2017 SCN3'!L61</f>
        <v/>
      </c>
      <c r="X24" s="195">
        <f>'Prévisionnel 2017 SCN3'!M61</f>
        <v>333</v>
      </c>
      <c r="Y24" s="195" t="str">
        <f>'Prévisionnel 2017 SCN3'!N61</f>
        <v/>
      </c>
      <c r="Z24" s="195">
        <f>'Prévisionnel 2017 SCN3'!O61</f>
        <v>333</v>
      </c>
      <c r="AA24" s="195" t="str">
        <f>'Prévisionnel 2017 SCN3'!P61</f>
        <v/>
      </c>
      <c r="AB24" s="195">
        <f>'Prévisionnel 2017 SCN3'!Q61</f>
        <v>333</v>
      </c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</row>
    <row r="25">
      <c r="A25" s="194"/>
      <c r="B25" s="194"/>
      <c r="C25" s="203"/>
      <c r="D25" s="225" t="s">
        <v>163</v>
      </c>
      <c r="E25" s="195"/>
      <c r="F25" s="195"/>
      <c r="G25" s="195"/>
      <c r="H25" s="195"/>
      <c r="I25" s="195"/>
      <c r="J25" s="195">
        <f>'Prévisionnel 2017 SCN2'!K21</f>
        <v>57.75</v>
      </c>
      <c r="K25" s="195">
        <f>'Prévisionnel 2017 SCN2'!L21</f>
        <v>572.06</v>
      </c>
      <c r="L25" s="195">
        <f>'Prévisionnel 2017 SCN2'!M21</f>
        <v>58.2</v>
      </c>
      <c r="M25" s="195">
        <f>'Prévisionnel 2017 SCN2'!N21</f>
        <v>144.64</v>
      </c>
      <c r="N25" s="195">
        <f>'Prévisionnel 2017 SCN2'!O21</f>
        <v>94.13</v>
      </c>
      <c r="O25" s="195">
        <f>'Prévisionnel 2017 SCN2'!P21</f>
        <v>26.07</v>
      </c>
      <c r="P25" s="261">
        <f>'Prévisionnel 2017 SCN2'!Q21</f>
        <v>19.26</v>
      </c>
      <c r="Q25" s="234">
        <f>'Prévisionnel 2017 SCN3'!F66</f>
        <v>35.27</v>
      </c>
      <c r="R25" s="195">
        <f>'Prévisionnel 2017 SCN3'!G66</f>
        <v>850</v>
      </c>
      <c r="S25" s="195">
        <f>'Prévisionnel 2017 SCN3'!H66</f>
        <v>80</v>
      </c>
      <c r="T25" s="195">
        <f>'Prévisionnel 2017 SCN3'!I66</f>
        <v>80</v>
      </c>
      <c r="U25" s="195">
        <f>'Prévisionnel 2017 SCN3'!J66</f>
        <v>80</v>
      </c>
      <c r="V25" s="195">
        <f>'Prévisionnel 2017 SCN3'!K66</f>
        <v>80</v>
      </c>
      <c r="W25" s="195">
        <f>'Prévisionnel 2017 SCN3'!L66</f>
        <v>80</v>
      </c>
      <c r="X25" s="195">
        <f>'Prévisionnel 2017 SCN3'!M66</f>
        <v>80</v>
      </c>
      <c r="Y25" s="195">
        <f>'Prévisionnel 2017 SCN3'!N66</f>
        <v>80</v>
      </c>
      <c r="Z25" s="195">
        <f>'Prévisionnel 2017 SCN3'!O66</f>
        <v>80</v>
      </c>
      <c r="AA25" s="195">
        <f>'Prévisionnel 2017 SCN3'!P66</f>
        <v>80</v>
      </c>
      <c r="AB25" s="195">
        <f>'Prévisionnel 2017 SCN3'!Q66</f>
        <v>80</v>
      </c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</row>
    <row r="26">
      <c r="A26" s="194"/>
      <c r="B26" s="194"/>
      <c r="C26" s="203"/>
      <c r="D26" s="225" t="s">
        <v>164</v>
      </c>
      <c r="E26" s="195">
        <f>'Prévisionnel 2017 SCN2'!F18</f>
        <v>22.95</v>
      </c>
      <c r="F26" s="195"/>
      <c r="G26" s="195"/>
      <c r="H26" s="195"/>
      <c r="I26" s="195">
        <f>'Prévisionnel 2017 SCN2'!J18</f>
        <v>95.69</v>
      </c>
      <c r="J26" s="195">
        <f>'Prévisionnel 2017 SCN2'!K18</f>
        <v>19.29</v>
      </c>
      <c r="K26" s="195"/>
      <c r="L26" s="195">
        <f>'Prévisionnel 2017 SCN2'!M18</f>
        <v>45</v>
      </c>
      <c r="M26" s="195">
        <f>'Prévisionnel 2017 SCN2'!N18</f>
        <v>40</v>
      </c>
      <c r="N26" s="195"/>
      <c r="O26" s="195">
        <f>'Prévisionnel 2017 SCN2'!P18</f>
        <v>35.06</v>
      </c>
      <c r="P26" s="261">
        <f>'Prévisionnel 2017 SCN2'!Q18</f>
        <v>0</v>
      </c>
      <c r="Q26" s="234">
        <f>'Prévisionnel 2017 SCN3'!F63</f>
        <v>190.26</v>
      </c>
      <c r="R26" s="195">
        <f>'Prévisionnel 2017 SCN3'!G63</f>
        <v>400</v>
      </c>
      <c r="S26" s="195">
        <f>'Prévisionnel 2017 SCN3'!H63</f>
        <v>50</v>
      </c>
      <c r="T26" s="195">
        <f>'Prévisionnel 2017 SCN3'!I63</f>
        <v>50</v>
      </c>
      <c r="U26" s="195">
        <f>'Prévisionnel 2017 SCN3'!J63</f>
        <v>50</v>
      </c>
      <c r="V26" s="195">
        <f>'Prévisionnel 2017 SCN3'!K63</f>
        <v>50</v>
      </c>
      <c r="W26" s="195">
        <f>'Prévisionnel 2017 SCN3'!L63</f>
        <v>50</v>
      </c>
      <c r="X26" s="195">
        <f>'Prévisionnel 2017 SCN3'!M63</f>
        <v>50</v>
      </c>
      <c r="Y26" s="195">
        <f>'Prévisionnel 2017 SCN3'!N63</f>
        <v>50</v>
      </c>
      <c r="Z26" s="195">
        <f>'Prévisionnel 2017 SCN3'!O63</f>
        <v>50</v>
      </c>
      <c r="AA26" s="195">
        <f>'Prévisionnel 2017 SCN3'!P63</f>
        <v>50</v>
      </c>
      <c r="AB26" s="195">
        <f>'Prévisionnel 2017 SCN3'!Q63</f>
        <v>50</v>
      </c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</row>
    <row r="27">
      <c r="A27" s="194"/>
      <c r="B27" s="194"/>
      <c r="C27" s="203"/>
      <c r="D27" s="225" t="s">
        <v>166</v>
      </c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5"/>
      <c r="Q27" s="266"/>
      <c r="R27" s="264"/>
      <c r="S27" s="264"/>
      <c r="T27" s="264"/>
      <c r="U27" s="264"/>
      <c r="V27" s="264"/>
      <c r="W27" s="264"/>
      <c r="X27" s="264"/>
      <c r="Y27" s="264"/>
      <c r="Z27" s="264"/>
      <c r="AA27" s="264"/>
      <c r="AB27" s="26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</row>
    <row r="28">
      <c r="A28" s="194"/>
      <c r="B28" s="194"/>
      <c r="C28" s="203"/>
      <c r="D28" s="225" t="s">
        <v>167</v>
      </c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5"/>
      <c r="Q28" s="266"/>
      <c r="R28" s="264"/>
      <c r="S28" s="264"/>
      <c r="T28" s="264"/>
      <c r="U28" s="264"/>
      <c r="V28" s="264"/>
      <c r="W28" s="264"/>
      <c r="X28" s="264"/>
      <c r="Y28" s="264"/>
      <c r="Z28" s="264"/>
      <c r="AA28" s="264"/>
      <c r="AB28" s="26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</row>
    <row r="29">
      <c r="A29" s="194"/>
      <c r="B29" s="194"/>
      <c r="C29" s="203"/>
      <c r="D29" s="225" t="s">
        <v>168</v>
      </c>
      <c r="E29" s="195"/>
      <c r="F29" s="195"/>
      <c r="G29" s="195"/>
      <c r="H29" s="195"/>
      <c r="I29" s="195">
        <f>'Prévisionnel 2017 SCN2'!J20</f>
        <v>250</v>
      </c>
      <c r="J29" s="195">
        <f>'Prévisionnel 2017 SCN2'!K20</f>
        <v>665</v>
      </c>
      <c r="K29" s="195"/>
      <c r="L29" s="195">
        <f>'Prévisionnel 2017 SCN2'!M20</f>
        <v>1950</v>
      </c>
      <c r="M29" s="195"/>
      <c r="N29" s="195"/>
      <c r="O29" s="195">
        <f>'Prévisionnel 2017 SCN2'!P20</f>
        <v>1950</v>
      </c>
      <c r="P29" s="261"/>
      <c r="Q29" s="234">
        <f>'Prévisionnel 2017 SCN3'!F65</f>
        <v>0</v>
      </c>
      <c r="R29" s="195">
        <f>'Prévisionnel 2017 SCN3'!G65</f>
        <v>1950</v>
      </c>
      <c r="S29" s="195">
        <f>'Prévisionnel 2017 SCN3'!H65</f>
        <v>130</v>
      </c>
      <c r="T29" s="195">
        <f>'Prévisionnel 2017 SCN3'!I65</f>
        <v>30</v>
      </c>
      <c r="U29" s="195">
        <f>'Prévisionnel 2017 SCN3'!J65</f>
        <v>1980</v>
      </c>
      <c r="V29" s="195">
        <f>'Prévisionnel 2017 SCN3'!K65</f>
        <v>280</v>
      </c>
      <c r="W29" s="195">
        <f>'Prévisionnel 2017 SCN3'!L65</f>
        <v>0</v>
      </c>
      <c r="X29" s="195">
        <f>'Prévisionnel 2017 SCN3'!M65</f>
        <v>1950</v>
      </c>
      <c r="Y29" s="195">
        <f>'Prévisionnel 2017 SCN3'!N65</f>
        <v>280</v>
      </c>
      <c r="Z29" s="195">
        <f>'Prévisionnel 2017 SCN3'!O65</f>
        <v>30</v>
      </c>
      <c r="AA29" s="195">
        <f>'Prévisionnel 2017 SCN3'!P65</f>
        <v>1980</v>
      </c>
      <c r="AB29" s="195">
        <f>'Prévisionnel 2017 SCN3'!Q65</f>
        <v>1300</v>
      </c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</row>
    <row r="30">
      <c r="A30" s="194"/>
      <c r="B30" s="194"/>
      <c r="C30" s="203"/>
      <c r="D30" s="225" t="s">
        <v>169</v>
      </c>
      <c r="E30" s="195"/>
      <c r="F30" s="195"/>
      <c r="G30" s="195"/>
      <c r="H30" s="195"/>
      <c r="I30" s="195"/>
      <c r="J30" s="195"/>
      <c r="K30" s="195">
        <f>'Prévisionnel 2017 SCN2'!L22</f>
        <v>173.08</v>
      </c>
      <c r="L30" s="195"/>
      <c r="M30" s="195"/>
      <c r="N30" s="195"/>
      <c r="O30" s="195"/>
      <c r="P30" s="261"/>
      <c r="Q30" s="234">
        <f>'Prévisionnel 2017 SCN3'!F67</f>
        <v>299.26</v>
      </c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</row>
    <row r="31">
      <c r="A31" s="194"/>
      <c r="B31" s="194"/>
      <c r="C31" s="203"/>
      <c r="D31" s="225" t="s">
        <v>170</v>
      </c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5"/>
      <c r="Q31" s="266"/>
      <c r="R31" s="264"/>
      <c r="S31" s="264"/>
      <c r="T31" s="264"/>
      <c r="U31" s="264"/>
      <c r="V31" s="264"/>
      <c r="W31" s="264"/>
      <c r="X31" s="264"/>
      <c r="Y31" s="264"/>
      <c r="Z31" s="264"/>
      <c r="AA31" s="264"/>
      <c r="AB31" s="26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</row>
    <row r="32">
      <c r="A32" s="194"/>
      <c r="B32" s="194"/>
      <c r="C32" s="203"/>
      <c r="D32" s="225" t="s">
        <v>171</v>
      </c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5"/>
      <c r="Q32" s="266"/>
      <c r="R32" s="264"/>
      <c r="S32" s="264"/>
      <c r="T32" s="264"/>
      <c r="U32" s="264"/>
      <c r="V32" s="264"/>
      <c r="W32" s="264"/>
      <c r="X32" s="264"/>
      <c r="Y32" s="264"/>
      <c r="Z32" s="264"/>
      <c r="AA32" s="264"/>
      <c r="AB32" s="26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</row>
    <row r="33">
      <c r="A33" s="194"/>
      <c r="B33" s="194"/>
      <c r="C33" s="203"/>
      <c r="D33" s="225" t="s">
        <v>172</v>
      </c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5"/>
      <c r="Q33" s="266"/>
      <c r="R33" s="264"/>
      <c r="S33" s="264"/>
      <c r="T33" s="264"/>
      <c r="U33" s="264"/>
      <c r="V33" s="264"/>
      <c r="W33" s="264"/>
      <c r="X33" s="264"/>
      <c r="Y33" s="264"/>
      <c r="Z33" s="264"/>
      <c r="AA33" s="264"/>
      <c r="AB33" s="26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</row>
    <row r="34">
      <c r="A34" s="194"/>
      <c r="B34" s="194"/>
      <c r="C34" s="203"/>
      <c r="D34" s="225" t="s">
        <v>173</v>
      </c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5"/>
      <c r="Q34" s="266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</row>
    <row r="35">
      <c r="A35" s="194"/>
      <c r="B35" s="194"/>
      <c r="C35" s="203"/>
      <c r="D35" s="225" t="s">
        <v>174</v>
      </c>
      <c r="E35" s="195"/>
      <c r="F35" s="195"/>
      <c r="G35" s="195"/>
      <c r="H35" s="195">
        <f>'Prévisionnel 2017 SCN2'!I25</f>
        <v>26.8</v>
      </c>
      <c r="I35" s="195"/>
      <c r="J35" s="195"/>
      <c r="K35" s="195">
        <f>'Prévisionnel 2017 SCN2'!L25</f>
        <v>78.15</v>
      </c>
      <c r="L35" s="195">
        <f>'Prévisionnel 2017 SCN2'!M25</f>
        <v>17.99</v>
      </c>
      <c r="M35" s="195">
        <f>'Prévisionnel 2017 SCN2'!N25</f>
        <v>17.99</v>
      </c>
      <c r="N35" s="195">
        <f>'Prévisionnel 2017 SCN2'!O25</f>
        <v>11.79</v>
      </c>
      <c r="O35" s="195">
        <f>'Prévisionnel 2017 SCN2'!P25</f>
        <v>59.31</v>
      </c>
      <c r="P35" s="261">
        <f>'Prévisionnel 2017 SCN2'!Q25</f>
        <v>17.99</v>
      </c>
      <c r="Q35" s="234">
        <f>'Prévisionnel 2017 SCN3'!F70</f>
        <v>19.61</v>
      </c>
      <c r="R35" s="195">
        <f>'Prévisionnel 2017 SCN3'!G70</f>
        <v>27.99</v>
      </c>
      <c r="S35" s="195">
        <f>'Prévisionnel 2017 SCN3'!H70</f>
        <v>27.99</v>
      </c>
      <c r="T35" s="195">
        <f>'Prévisionnel 2017 SCN3'!I70</f>
        <v>27.99</v>
      </c>
      <c r="U35" s="195">
        <f>'Prévisionnel 2017 SCN3'!J70</f>
        <v>27.99</v>
      </c>
      <c r="V35" s="195">
        <f>'Prévisionnel 2017 SCN3'!K70</f>
        <v>27.99</v>
      </c>
      <c r="W35" s="195">
        <f>'Prévisionnel 2017 SCN3'!L70</f>
        <v>27.99</v>
      </c>
      <c r="X35" s="195">
        <f>'Prévisionnel 2017 SCN3'!M70</f>
        <v>39.99</v>
      </c>
      <c r="Y35" s="195">
        <f>'Prévisionnel 2017 SCN3'!N70</f>
        <v>39.99</v>
      </c>
      <c r="Z35" s="195">
        <f>'Prévisionnel 2017 SCN3'!O70</f>
        <v>39.99</v>
      </c>
      <c r="AA35" s="195">
        <f>'Prévisionnel 2017 SCN3'!P70</f>
        <v>39.99</v>
      </c>
      <c r="AB35" s="195">
        <f>'Prévisionnel 2017 SCN3'!Q70</f>
        <v>39.99</v>
      </c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</row>
    <row r="36">
      <c r="A36" s="194"/>
      <c r="B36" s="194"/>
      <c r="C36" s="203"/>
      <c r="D36" s="225" t="s">
        <v>68</v>
      </c>
      <c r="E36" s="195">
        <f>'Prévisionnel 2017 SCN2'!F24</f>
        <v>23.4</v>
      </c>
      <c r="F36" s="195">
        <f>'Prévisionnel 2017 SCN2'!G24</f>
        <v>40</v>
      </c>
      <c r="G36" s="195">
        <f>'Prévisionnel 2017 SCN2'!H24</f>
        <v>40</v>
      </c>
      <c r="H36" s="195">
        <f>'Prévisionnel 2017 SCN2'!I24</f>
        <v>62</v>
      </c>
      <c r="I36" s="195">
        <f>'Prévisionnel 2017 SCN2'!J24</f>
        <v>50</v>
      </c>
      <c r="J36" s="195">
        <f>'Prévisionnel 2017 SCN2'!K24</f>
        <v>60</v>
      </c>
      <c r="K36" s="195">
        <f>'Prévisionnel 2017 SCN2'!L24</f>
        <v>0</v>
      </c>
      <c r="L36" s="195">
        <f>'Prévisionnel 2017 SCN2'!M24</f>
        <v>51</v>
      </c>
      <c r="M36" s="195">
        <f>'Prévisionnel 2017 SCN2'!N24</f>
        <v>112.01</v>
      </c>
      <c r="N36" s="195">
        <f>'Prévisionnel 2017 SCN2'!O24</f>
        <v>60</v>
      </c>
      <c r="O36" s="195">
        <f>'Prévisionnel 2017 SCN2'!P24</f>
        <v>47.78</v>
      </c>
      <c r="P36" s="261">
        <f>'Prévisionnel 2017 SCN2'!Q24</f>
        <v>30</v>
      </c>
      <c r="Q36" s="234">
        <f>'Prévisionnel 2017 SCN3'!F69</f>
        <v>44</v>
      </c>
      <c r="R36" s="195">
        <f>'Prévisionnel 2017 SCN3'!G69</f>
        <v>60</v>
      </c>
      <c r="S36" s="195">
        <f>'Prévisionnel 2017 SCN3'!H69</f>
        <v>60</v>
      </c>
      <c r="T36" s="195">
        <f>'Prévisionnel 2017 SCN3'!I69</f>
        <v>60</v>
      </c>
      <c r="U36" s="195">
        <f>'Prévisionnel 2017 SCN3'!J69</f>
        <v>60</v>
      </c>
      <c r="V36" s="195">
        <f>'Prévisionnel 2017 SCN3'!K69</f>
        <v>60</v>
      </c>
      <c r="W36" s="195">
        <f>'Prévisionnel 2017 SCN3'!L69</f>
        <v>60</v>
      </c>
      <c r="X36" s="195">
        <f>'Prévisionnel 2017 SCN3'!M69</f>
        <v>60</v>
      </c>
      <c r="Y36" s="195">
        <f>'Prévisionnel 2017 SCN3'!N69</f>
        <v>60</v>
      </c>
      <c r="Z36" s="195">
        <f>'Prévisionnel 2017 SCN3'!O69</f>
        <v>60</v>
      </c>
      <c r="AA36" s="195">
        <f>'Prévisionnel 2017 SCN3'!P69</f>
        <v>60</v>
      </c>
      <c r="AB36" s="195">
        <f>'Prévisionnel 2017 SCN3'!Q69</f>
        <v>60</v>
      </c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</row>
    <row r="37">
      <c r="A37" s="194"/>
      <c r="B37" s="194"/>
      <c r="C37" s="203"/>
      <c r="D37" s="225" t="s">
        <v>176</v>
      </c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5"/>
      <c r="Q37" s="266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4"/>
    </row>
    <row r="38">
      <c r="A38" s="194"/>
      <c r="B38" s="194"/>
      <c r="C38" s="203"/>
      <c r="D38" s="225" t="s">
        <v>177</v>
      </c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5"/>
      <c r="Q38" s="266"/>
      <c r="R38" s="264"/>
      <c r="S38" s="264"/>
      <c r="T38" s="195">
        <f>'Prévisionnel 2017 SCN3'!I59</f>
        <v>5285</v>
      </c>
      <c r="U38" s="264"/>
      <c r="V38" s="264"/>
      <c r="W38" s="264"/>
      <c r="X38" s="264"/>
      <c r="Y38" s="264"/>
      <c r="Z38" s="264"/>
      <c r="AA38" s="264"/>
      <c r="AB38" s="26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</row>
    <row r="39">
      <c r="A39" s="194"/>
      <c r="B39" s="194"/>
      <c r="C39" s="203"/>
      <c r="D39" s="225" t="s">
        <v>178</v>
      </c>
      <c r="E39" s="195"/>
      <c r="F39" s="195"/>
      <c r="G39" s="195"/>
      <c r="H39" s="195"/>
      <c r="I39" s="195"/>
      <c r="J39" s="195"/>
      <c r="K39" s="195"/>
      <c r="L39" s="195"/>
      <c r="M39" s="195"/>
      <c r="N39" s="195">
        <f>'Prévisionnel 2017 SCN2'!O27</f>
        <v>1123.42</v>
      </c>
      <c r="O39" s="195">
        <f>'Prévisionnel 2017 SCN2'!P27</f>
        <v>1123.42</v>
      </c>
      <c r="P39" s="261">
        <f>'Prévisionnel 2017 SCN2'!Q27</f>
        <v>1123.42</v>
      </c>
      <c r="Q39" s="234">
        <f>'Prévisionnel 2017 SCN3'!F72</f>
        <v>1123.49</v>
      </c>
      <c r="R39" s="195">
        <f>'Prévisionnel 2017 SCN3'!G72</f>
        <v>1123.4</v>
      </c>
      <c r="S39" s="195">
        <f>'Prévisionnel 2017 SCN3'!H72</f>
        <v>2246.8</v>
      </c>
      <c r="T39" s="195">
        <f>'Prévisionnel 2017 SCN3'!I72</f>
        <v>2246.8</v>
      </c>
      <c r="U39" s="195">
        <f>'Prévisionnel 2017 SCN3'!J72</f>
        <v>2246.8</v>
      </c>
      <c r="V39" s="195">
        <f>'Prévisionnel 2017 SCN3'!K72</f>
        <v>2246.8</v>
      </c>
      <c r="W39" s="195">
        <f>'Prévisionnel 2017 SCN3'!L72</f>
        <v>2246.8</v>
      </c>
      <c r="X39" s="195">
        <f>'Prévisionnel 2017 SCN3'!M72</f>
        <v>2246.8</v>
      </c>
      <c r="Y39" s="195">
        <f>'Prévisionnel 2017 SCN3'!N72</f>
        <v>2246.8</v>
      </c>
      <c r="Z39" s="195">
        <f>'Prévisionnel 2017 SCN3'!O72</f>
        <v>2246.8</v>
      </c>
      <c r="AA39" s="195">
        <f>'Prévisionnel 2017 SCN3'!P72</f>
        <v>2246.8</v>
      </c>
      <c r="AB39" s="195">
        <f>'Prévisionnel 2017 SCN3'!Q72</f>
        <v>2246.8</v>
      </c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</row>
    <row r="40">
      <c r="A40" s="194"/>
      <c r="B40" s="194"/>
      <c r="C40" s="203"/>
      <c r="D40" s="225" t="s">
        <v>179</v>
      </c>
      <c r="E40" s="195" t="str">
        <f>'Prévisionnel 2017 SCN2'!F28</f>
        <v/>
      </c>
      <c r="F40" s="195" t="str">
        <f>'Prévisionnel 2017 SCN2'!G28</f>
        <v/>
      </c>
      <c r="G40" s="195" t="str">
        <f>'Prévisionnel 2017 SCN2'!H28</f>
        <v/>
      </c>
      <c r="H40" s="195" t="str">
        <f>'Prévisionnel 2017 SCN2'!I28</f>
        <v/>
      </c>
      <c r="I40" s="195" t="str">
        <f>'Prévisionnel 2017 SCN2'!J28</f>
        <v/>
      </c>
      <c r="J40" s="195" t="str">
        <f>'Prévisionnel 2017 SCN2'!K28</f>
        <v/>
      </c>
      <c r="K40" s="195" t="str">
        <f>'Prévisionnel 2017 SCN2'!L28</f>
        <v/>
      </c>
      <c r="L40" s="195" t="str">
        <f>'Prévisionnel 2017 SCN2'!M28</f>
        <v/>
      </c>
      <c r="M40" s="195"/>
      <c r="N40" s="195"/>
      <c r="O40" s="195">
        <f>'Prévisionnel 2017 SCN2'!P28</f>
        <v>359</v>
      </c>
      <c r="P40" s="261"/>
      <c r="Q40" s="234">
        <f>'Prévisionnel 2017 SCN3'!F73</f>
        <v>1078</v>
      </c>
      <c r="R40" s="195">
        <f>'Prévisionnel 2017 SCN3'!G73</f>
        <v>727</v>
      </c>
      <c r="S40" s="195">
        <f>'Prévisionnel 2017 SCN3'!H73</f>
        <v>253</v>
      </c>
      <c r="T40" s="195">
        <f>'Prévisionnel 2017 SCN3'!I73</f>
        <v>2995</v>
      </c>
      <c r="U40" s="195">
        <f>'Prévisionnel 2017 SCN3'!J73</f>
        <v>110</v>
      </c>
      <c r="V40" s="195">
        <f>'Prévisionnel 2017 SCN3'!K73</f>
        <v>110</v>
      </c>
      <c r="W40" s="195">
        <f>'Prévisionnel 2017 SCN3'!L73</f>
        <v>2418</v>
      </c>
      <c r="X40" s="195">
        <f>'Prévisionnel 2017 SCN3'!M73</f>
        <v>110</v>
      </c>
      <c r="Y40" s="195">
        <f>'Prévisionnel 2017 SCN3'!N73</f>
        <v>110</v>
      </c>
      <c r="Z40" s="195">
        <f>'Prévisionnel 2017 SCN3'!O73</f>
        <v>2418</v>
      </c>
      <c r="AA40" s="195">
        <f>'Prévisionnel 2017 SCN3'!P73</f>
        <v>110</v>
      </c>
      <c r="AB40" s="195">
        <f>'Prévisionnel 2017 SCN3'!Q73</f>
        <v>110</v>
      </c>
      <c r="AC40" s="194"/>
      <c r="AD40" s="194"/>
      <c r="AE40" s="194"/>
      <c r="AF40" s="194"/>
      <c r="AG40" s="194"/>
      <c r="AH40" s="194"/>
      <c r="AI40" s="194"/>
      <c r="AJ40" s="194"/>
      <c r="AK40" s="194"/>
      <c r="AL40" s="194"/>
    </row>
    <row r="41">
      <c r="A41" s="194"/>
      <c r="B41" s="194"/>
      <c r="C41" s="203"/>
      <c r="D41" s="225" t="s">
        <v>180</v>
      </c>
      <c r="E41" s="195">
        <f>'Prévisionnel 2017 SCN2'!F26</f>
        <v>17.77</v>
      </c>
      <c r="F41" s="195">
        <f>'Prévisionnel 2017 SCN2'!G26</f>
        <v>7.3</v>
      </c>
      <c r="G41" s="195">
        <f>'Prévisionnel 2017 SCN2'!H26</f>
        <v>7.3</v>
      </c>
      <c r="H41" s="195">
        <f>'Prévisionnel 2017 SCN2'!I26</f>
        <v>19.56</v>
      </c>
      <c r="I41" s="195">
        <f>'Prévisionnel 2017 SCN2'!J26</f>
        <v>13.06</v>
      </c>
      <c r="J41" s="195">
        <f>'Prévisionnel 2017 SCN2'!K26</f>
        <v>25.65</v>
      </c>
      <c r="K41" s="195">
        <f>'Prévisionnel 2017 SCN2'!L26</f>
        <v>7.3</v>
      </c>
      <c r="L41" s="195">
        <f>'Prévisionnel 2017 SCN2'!M26</f>
        <v>7.3</v>
      </c>
      <c r="M41" s="195">
        <f>'Prévisionnel 2017 SCN2'!N26</f>
        <v>24.19</v>
      </c>
      <c r="N41" s="195">
        <f>'Prévisionnel 2017 SCN2'!O26</f>
        <v>7.3</v>
      </c>
      <c r="O41" s="195">
        <f>'Prévisionnel 2017 SCN2'!P26</f>
        <v>7.3</v>
      </c>
      <c r="P41" s="261">
        <f>'Prévisionnel 2017 SCN2'!Q26</f>
        <v>60.12</v>
      </c>
      <c r="Q41" s="234">
        <f>'Prévisionnel 2017 SCN3'!F71</f>
        <v>7.3</v>
      </c>
      <c r="R41" s="195">
        <f>'Prévisionnel 2017 SCN3'!G71</f>
        <v>20</v>
      </c>
      <c r="S41" s="195">
        <f>'Prévisionnel 2017 SCN3'!H71</f>
        <v>20</v>
      </c>
      <c r="T41" s="195">
        <f>'Prévisionnel 2017 SCN3'!I71</f>
        <v>20</v>
      </c>
      <c r="U41" s="195">
        <f>'Prévisionnel 2017 SCN3'!J71</f>
        <v>20</v>
      </c>
      <c r="V41" s="195">
        <f>'Prévisionnel 2017 SCN3'!K71</f>
        <v>20</v>
      </c>
      <c r="W41" s="195">
        <f>'Prévisionnel 2017 SCN3'!L71</f>
        <v>20</v>
      </c>
      <c r="X41" s="195">
        <f>'Prévisionnel 2017 SCN3'!M71</f>
        <v>20</v>
      </c>
      <c r="Y41" s="195">
        <f>'Prévisionnel 2017 SCN3'!N71</f>
        <v>20</v>
      </c>
      <c r="Z41" s="195">
        <f>'Prévisionnel 2017 SCN3'!O71</f>
        <v>20</v>
      </c>
      <c r="AA41" s="195">
        <f>'Prévisionnel 2017 SCN3'!P71</f>
        <v>20</v>
      </c>
      <c r="AB41" s="195">
        <f>'Prévisionnel 2017 SCN3'!Q71</f>
        <v>20</v>
      </c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</row>
    <row r="42">
      <c r="A42" s="194"/>
      <c r="B42" s="194"/>
      <c r="C42" s="203"/>
      <c r="D42" s="225" t="s">
        <v>181</v>
      </c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5"/>
      <c r="Q42" s="266"/>
      <c r="R42" s="264"/>
      <c r="S42" s="264"/>
      <c r="T42" s="264"/>
      <c r="U42" s="264"/>
      <c r="V42" s="264"/>
      <c r="W42" s="264"/>
      <c r="X42" s="264"/>
      <c r="Y42" s="264"/>
      <c r="Z42" s="264"/>
      <c r="AA42" s="264"/>
      <c r="AB42" s="26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</row>
    <row r="43">
      <c r="A43" s="194"/>
      <c r="B43" s="194"/>
      <c r="C43" s="203"/>
      <c r="D43" s="225" t="s">
        <v>182</v>
      </c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64"/>
      <c r="P43" s="265"/>
      <c r="Q43" s="195" t="str">
        <f>'Prévisionnel 2017 SCN3'!F58</f>
        <v/>
      </c>
      <c r="R43" s="195" t="str">
        <f>'Prévisionnel 2017 SCN3'!G58</f>
        <v/>
      </c>
      <c r="S43" s="195" t="str">
        <f>'Prévisionnel 2017 SCN3'!H58</f>
        <v/>
      </c>
      <c r="T43" s="195" t="str">
        <f>'Prévisionnel 2017 SCN3'!I58</f>
        <v/>
      </c>
      <c r="U43" s="195" t="str">
        <f>'Prévisionnel 2017 SCN3'!J58</f>
        <v/>
      </c>
      <c r="V43" s="195">
        <f>'Prévisionnel 2017 SCN3'!K58</f>
        <v>303.7743939</v>
      </c>
      <c r="W43" s="195">
        <f>'Prévisionnel 2017 SCN3'!L58</f>
        <v>155.6380303</v>
      </c>
      <c r="X43" s="195">
        <f>'Prévisionnel 2017 SCN3'!M58</f>
        <v>98.1380303</v>
      </c>
      <c r="Y43" s="195">
        <f>'Prévisionnel 2017 SCN3'!N58</f>
        <v>357.2743939</v>
      </c>
      <c r="Z43" s="195">
        <f>'Prévisionnel 2017 SCN3'!O58</f>
        <v>301.7743939</v>
      </c>
      <c r="AA43" s="195">
        <f>'Prévisionnel 2017 SCN3'!P58</f>
        <v>357.2743939</v>
      </c>
      <c r="AB43" s="195">
        <f>'Prévisionnel 2017 SCN3'!Q58</f>
        <v>301.7743939</v>
      </c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</row>
    <row r="44">
      <c r="A44" s="194"/>
      <c r="B44" s="194"/>
      <c r="C44" s="203"/>
      <c r="D44" s="241" t="s">
        <v>183</v>
      </c>
      <c r="E44" s="269">
        <f t="shared" ref="E44:AB44" si="5">SUM(E21:E43)</f>
        <v>2116.29</v>
      </c>
      <c r="F44" s="269">
        <f t="shared" si="5"/>
        <v>2680.15</v>
      </c>
      <c r="G44" s="269">
        <f t="shared" si="5"/>
        <v>2765.99</v>
      </c>
      <c r="H44" s="269">
        <f t="shared" si="5"/>
        <v>3610.04</v>
      </c>
      <c r="I44" s="269">
        <f t="shared" si="5"/>
        <v>3663.59</v>
      </c>
      <c r="J44" s="269">
        <f t="shared" si="5"/>
        <v>4324.57</v>
      </c>
      <c r="K44" s="269">
        <f t="shared" si="5"/>
        <v>2732.41</v>
      </c>
      <c r="L44" s="269">
        <f t="shared" si="5"/>
        <v>4445.86</v>
      </c>
      <c r="M44" s="269">
        <f t="shared" si="5"/>
        <v>5164.98</v>
      </c>
      <c r="N44" s="269">
        <f t="shared" si="5"/>
        <v>7635.09</v>
      </c>
      <c r="O44" s="269">
        <f t="shared" si="5"/>
        <v>10872.73</v>
      </c>
      <c r="P44" s="271">
        <f t="shared" si="5"/>
        <v>11782.13</v>
      </c>
      <c r="Q44" s="272">
        <f t="shared" si="5"/>
        <v>16278.23</v>
      </c>
      <c r="R44" s="273">
        <f t="shared" si="5"/>
        <v>19961.39</v>
      </c>
      <c r="S44" s="273">
        <f t="shared" si="5"/>
        <v>16037.79</v>
      </c>
      <c r="T44" s="273">
        <f t="shared" si="5"/>
        <v>24427.79</v>
      </c>
      <c r="U44" s="273">
        <f t="shared" si="5"/>
        <v>17744.79</v>
      </c>
      <c r="V44" s="273">
        <f t="shared" si="5"/>
        <v>16681.56439</v>
      </c>
      <c r="W44" s="273">
        <f t="shared" si="5"/>
        <v>11668.42803</v>
      </c>
      <c r="X44" s="273">
        <f t="shared" si="5"/>
        <v>11597.92803</v>
      </c>
      <c r="Y44" s="273">
        <f t="shared" si="5"/>
        <v>16414.06439</v>
      </c>
      <c r="Z44" s="273">
        <f t="shared" si="5"/>
        <v>18879.56439</v>
      </c>
      <c r="AA44" s="273">
        <f t="shared" si="5"/>
        <v>18114.06439</v>
      </c>
      <c r="AB44" s="273">
        <f t="shared" si="5"/>
        <v>17711.56439</v>
      </c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</row>
    <row r="45">
      <c r="A45" s="194"/>
      <c r="B45" s="194"/>
      <c r="C45" s="203"/>
      <c r="D45" s="224" t="s">
        <v>152</v>
      </c>
      <c r="E45" s="1"/>
      <c r="Q45" s="1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</row>
    <row r="46">
      <c r="A46" s="194"/>
      <c r="B46" s="194"/>
      <c r="C46" s="203"/>
      <c r="D46" s="225" t="s">
        <v>184</v>
      </c>
      <c r="E46" s="264"/>
      <c r="F46" s="274"/>
      <c r="G46" s="274"/>
      <c r="H46" s="274"/>
      <c r="I46" s="274"/>
      <c r="J46" s="274"/>
      <c r="K46" s="274"/>
      <c r="L46" s="274"/>
      <c r="M46" s="274"/>
      <c r="N46" s="274"/>
      <c r="O46" s="274"/>
      <c r="P46" s="276"/>
      <c r="Q46" s="266"/>
      <c r="R46" s="274"/>
      <c r="S46" s="274"/>
      <c r="T46" s="274"/>
      <c r="U46" s="274"/>
      <c r="V46" s="274"/>
      <c r="W46" s="274"/>
      <c r="X46" s="274"/>
      <c r="Y46" s="274"/>
      <c r="Z46" s="274"/>
      <c r="AA46" s="274"/>
      <c r="AB46" s="27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</row>
    <row r="47">
      <c r="A47" s="194"/>
      <c r="B47" s="194"/>
      <c r="C47" s="203"/>
      <c r="D47" s="225" t="s">
        <v>185</v>
      </c>
      <c r="E47" s="264"/>
      <c r="F47" s="274"/>
      <c r="G47" s="274"/>
      <c r="H47" s="274"/>
      <c r="I47" s="274"/>
      <c r="J47" s="274"/>
      <c r="K47" s="274"/>
      <c r="L47" s="274"/>
      <c r="M47" s="274"/>
      <c r="N47" s="274"/>
      <c r="O47" s="274"/>
      <c r="P47" s="276"/>
      <c r="Q47" s="266"/>
      <c r="R47" s="274"/>
      <c r="S47" s="274"/>
      <c r="T47" s="274"/>
      <c r="U47" s="274"/>
      <c r="V47" s="274"/>
      <c r="W47" s="274"/>
      <c r="X47" s="274"/>
      <c r="Y47" s="274"/>
      <c r="Z47" s="274"/>
      <c r="AA47" s="274"/>
      <c r="AB47" s="27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</row>
    <row r="48">
      <c r="A48" s="194"/>
      <c r="B48" s="194"/>
      <c r="C48" s="203"/>
      <c r="D48" s="225" t="s">
        <v>186</v>
      </c>
      <c r="E48" s="264"/>
      <c r="F48" s="274"/>
      <c r="G48" s="274"/>
      <c r="H48" s="274"/>
      <c r="I48" s="274"/>
      <c r="J48" s="274"/>
      <c r="K48" s="274"/>
      <c r="L48" s="274"/>
      <c r="M48" s="274"/>
      <c r="N48" s="274"/>
      <c r="O48" s="274"/>
      <c r="P48" s="276"/>
      <c r="Q48" s="266"/>
      <c r="R48" s="274"/>
      <c r="S48" s="274"/>
      <c r="T48" s="274"/>
      <c r="U48" s="274"/>
      <c r="V48" s="274"/>
      <c r="W48" s="274"/>
      <c r="X48" s="274"/>
      <c r="Y48" s="274"/>
      <c r="Z48" s="274"/>
      <c r="AA48" s="274"/>
      <c r="AB48" s="274"/>
      <c r="AC48" s="194"/>
      <c r="AD48" s="194"/>
      <c r="AE48" s="194"/>
      <c r="AF48" s="194"/>
      <c r="AG48" s="194"/>
      <c r="AH48" s="194"/>
      <c r="AI48" s="194"/>
      <c r="AJ48" s="194"/>
      <c r="AK48" s="194"/>
      <c r="AL48" s="194"/>
    </row>
    <row r="49">
      <c r="A49" s="194"/>
      <c r="B49" s="194"/>
      <c r="C49" s="203"/>
      <c r="D49" s="225" t="s">
        <v>187</v>
      </c>
      <c r="E49" s="195"/>
      <c r="F49" s="195">
        <f>'Prévisionnel 2017 SCN2'!G29</f>
        <v>13.64</v>
      </c>
      <c r="G49" s="195"/>
      <c r="H49" s="195"/>
      <c r="I49" s="195">
        <f>'Prévisionnel 2017 SCN2'!J29</f>
        <v>29.72</v>
      </c>
      <c r="J49" s="195"/>
      <c r="K49" s="195"/>
      <c r="L49" s="195"/>
      <c r="M49" s="195">
        <f>'Prévisionnel 2017 SCN2'!N29</f>
        <v>59.72</v>
      </c>
      <c r="N49" s="195"/>
      <c r="O49" s="195"/>
      <c r="P49" s="261">
        <f>'Prévisionnel 2017 SCN2'!Q29</f>
        <v>10.25</v>
      </c>
      <c r="Q49" s="234">
        <v>50.0</v>
      </c>
      <c r="R49" s="195">
        <v>50.0</v>
      </c>
      <c r="S49" s="195">
        <v>50.0</v>
      </c>
      <c r="T49" s="195">
        <v>50.0</v>
      </c>
      <c r="U49" s="195">
        <v>50.0</v>
      </c>
      <c r="V49" s="195">
        <v>50.0</v>
      </c>
      <c r="W49" s="195">
        <v>50.0</v>
      </c>
      <c r="X49" s="195">
        <v>50.0</v>
      </c>
      <c r="Y49" s="195">
        <v>50.0</v>
      </c>
      <c r="Z49" s="195">
        <v>50.0</v>
      </c>
      <c r="AA49" s="195">
        <v>50.0</v>
      </c>
      <c r="AB49" s="195">
        <v>50.0</v>
      </c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</row>
    <row r="50">
      <c r="A50" s="194"/>
      <c r="B50" s="194"/>
      <c r="C50" s="203"/>
      <c r="D50" s="225" t="s">
        <v>188</v>
      </c>
      <c r="E50" s="264"/>
      <c r="F50" s="274"/>
      <c r="G50" s="274"/>
      <c r="H50" s="274"/>
      <c r="I50" s="274"/>
      <c r="J50" s="274"/>
      <c r="K50" s="274"/>
      <c r="L50" s="274"/>
      <c r="M50" s="274"/>
      <c r="N50" s="274"/>
      <c r="O50" s="274"/>
      <c r="P50" s="276"/>
      <c r="Q50" s="266"/>
      <c r="R50" s="274"/>
      <c r="S50" s="274"/>
      <c r="T50" s="274"/>
      <c r="U50" s="274"/>
      <c r="V50" s="274"/>
      <c r="W50" s="274"/>
      <c r="X50" s="274"/>
      <c r="Y50" s="274"/>
      <c r="Z50" s="274"/>
      <c r="AA50" s="274"/>
      <c r="AB50" s="27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</row>
    <row r="51">
      <c r="A51" s="194"/>
      <c r="B51" s="194"/>
      <c r="C51" s="203"/>
      <c r="D51" s="225" t="s">
        <v>189</v>
      </c>
      <c r="E51" s="264"/>
      <c r="F51" s="274"/>
      <c r="G51" s="274"/>
      <c r="H51" s="274"/>
      <c r="I51" s="274"/>
      <c r="J51" s="274"/>
      <c r="K51" s="274"/>
      <c r="L51" s="274"/>
      <c r="M51" s="274"/>
      <c r="N51" s="274"/>
      <c r="O51" s="274"/>
      <c r="P51" s="276"/>
      <c r="Q51" s="234">
        <f>'Prévisionnel 2017 SCN3'!F55</f>
        <v>663.1</v>
      </c>
      <c r="R51" s="195" t="str">
        <f>'Prévisionnel 2017 SCN3'!G55</f>
        <v/>
      </c>
      <c r="S51" s="195">
        <f>'Prévisionnel 2017 SCN3'!H55</f>
        <v>1500</v>
      </c>
      <c r="T51" s="195" t="str">
        <f>'Prévisionnel 2017 SCN3'!I55</f>
        <v/>
      </c>
      <c r="U51" s="195" t="str">
        <f>'Prévisionnel 2017 SCN3'!J55</f>
        <v/>
      </c>
      <c r="V51" s="195" t="str">
        <f>'Prévisionnel 2017 SCN3'!K55</f>
        <v/>
      </c>
      <c r="W51" s="195" t="str">
        <f>'Prévisionnel 2017 SCN3'!L55</f>
        <v/>
      </c>
      <c r="X51" s="195" t="str">
        <f>'Prévisionnel 2017 SCN3'!M55</f>
        <v/>
      </c>
      <c r="Y51" s="195" t="str">
        <f>'Prévisionnel 2017 SCN3'!N55</f>
        <v/>
      </c>
      <c r="Z51" s="195" t="str">
        <f>'Prévisionnel 2017 SCN3'!O55</f>
        <v/>
      </c>
      <c r="AA51" s="195" t="str">
        <f>'Prévisionnel 2017 SCN3'!P55</f>
        <v/>
      </c>
      <c r="AB51" s="195" t="str">
        <f>'Prévisionnel 2017 SCN3'!Q55</f>
        <v/>
      </c>
      <c r="AC51" s="194"/>
      <c r="AD51" s="194"/>
      <c r="AE51" s="194"/>
      <c r="AF51" s="194"/>
      <c r="AG51" s="194"/>
      <c r="AH51" s="194"/>
      <c r="AI51" s="194"/>
      <c r="AJ51" s="194"/>
      <c r="AK51" s="194"/>
      <c r="AL51" s="194"/>
    </row>
    <row r="52">
      <c r="A52" s="194"/>
      <c r="B52" s="194"/>
      <c r="C52" s="203"/>
      <c r="D52" s="225" t="s">
        <v>190</v>
      </c>
      <c r="E52" s="26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6"/>
      <c r="Q52" s="234"/>
      <c r="R52" s="195"/>
      <c r="S52" s="195"/>
      <c r="T52" s="195"/>
      <c r="U52" s="195"/>
      <c r="V52" s="195"/>
      <c r="W52" s="195"/>
      <c r="X52" s="195"/>
      <c r="Y52" s="195"/>
      <c r="Z52" s="195"/>
      <c r="AA52" s="195"/>
      <c r="AB52" s="195"/>
      <c r="AC52" s="194"/>
      <c r="AD52" s="194"/>
      <c r="AE52" s="194"/>
      <c r="AF52" s="194"/>
      <c r="AG52" s="194"/>
      <c r="AH52" s="194"/>
      <c r="AI52" s="194"/>
      <c r="AJ52" s="194"/>
      <c r="AK52" s="194"/>
      <c r="AL52" s="194"/>
    </row>
    <row r="53">
      <c r="A53" s="194"/>
      <c r="B53" s="194"/>
      <c r="C53" s="203"/>
      <c r="D53" s="225" t="s">
        <v>191</v>
      </c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>
        <f>'Prévisionnel 2017 SCN2'!P12</f>
        <v>327.88</v>
      </c>
      <c r="P53" s="261">
        <f>'Prévisionnel 2017 SCN2'!Q12</f>
        <v>7080.76</v>
      </c>
      <c r="Q53" s="234"/>
      <c r="R53" s="195" t="str">
        <f>'Prévisionnel 2017 SCN3'!G56</f>
        <v/>
      </c>
      <c r="S53" s="195">
        <f>'Prévisionnel 2017 SCN3'!H56</f>
        <v>7000</v>
      </c>
      <c r="T53" s="195" t="str">
        <f>'Prévisionnel 2017 SCN3'!I56</f>
        <v/>
      </c>
      <c r="U53" s="195" t="str">
        <f>'Prévisionnel 2017 SCN3'!J56</f>
        <v/>
      </c>
      <c r="V53" s="195" t="str">
        <f>'Prévisionnel 2017 SCN3'!K56</f>
        <v/>
      </c>
      <c r="W53" s="195" t="str">
        <f>'Prévisionnel 2017 SCN3'!L56</f>
        <v/>
      </c>
      <c r="X53" s="195" t="str">
        <f>'Prévisionnel 2017 SCN3'!M56</f>
        <v/>
      </c>
      <c r="Y53" s="195" t="str">
        <f>'Prévisionnel 2017 SCN3'!N56</f>
        <v/>
      </c>
      <c r="Z53" s="195" t="str">
        <f>'Prévisionnel 2017 SCN3'!O56</f>
        <v/>
      </c>
      <c r="AA53" s="195" t="str">
        <f>'Prévisionnel 2017 SCN3'!P56</f>
        <v/>
      </c>
      <c r="AB53" s="195" t="str">
        <f>'Prévisionnel 2017 SCN3'!Q56</f>
        <v/>
      </c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</row>
    <row r="54">
      <c r="A54" s="194"/>
      <c r="B54" s="194"/>
      <c r="C54" s="203"/>
      <c r="D54" s="225" t="s">
        <v>192</v>
      </c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261"/>
      <c r="Q54" s="266"/>
      <c r="R54" s="274"/>
      <c r="S54" s="274"/>
      <c r="T54" s="274"/>
      <c r="U54" s="274"/>
      <c r="V54" s="274"/>
      <c r="W54" s="274"/>
      <c r="X54" s="274"/>
      <c r="Y54" s="274"/>
      <c r="Z54" s="274"/>
      <c r="AA54" s="274"/>
      <c r="AB54" s="274"/>
      <c r="AC54" s="194"/>
      <c r="AD54" s="194"/>
      <c r="AE54" s="194"/>
      <c r="AF54" s="194"/>
      <c r="AG54" s="194"/>
      <c r="AH54" s="194"/>
      <c r="AI54" s="194"/>
      <c r="AJ54" s="194"/>
      <c r="AK54" s="194"/>
      <c r="AL54" s="194"/>
    </row>
    <row r="55">
      <c r="A55" s="194"/>
      <c r="B55" s="194"/>
      <c r="C55" s="203"/>
      <c r="D55" s="225" t="s">
        <v>193</v>
      </c>
      <c r="E55" s="195"/>
      <c r="F55" s="195"/>
      <c r="G55" s="195"/>
      <c r="H55" s="195"/>
      <c r="I55" s="195"/>
      <c r="J55" s="195">
        <f>'Prévisionnel 2017 SCN2'!K13</f>
        <v>650</v>
      </c>
      <c r="K55" s="195"/>
      <c r="L55" s="195"/>
      <c r="M55" s="195"/>
      <c r="N55" s="195"/>
      <c r="O55" s="195"/>
      <c r="P55" s="261"/>
      <c r="Q55" s="234"/>
      <c r="R55" s="195"/>
      <c r="S55" s="195"/>
      <c r="T55" s="195"/>
      <c r="U55" s="195"/>
      <c r="V55" s="195"/>
      <c r="W55" s="195"/>
      <c r="X55" s="195"/>
      <c r="Y55" s="195"/>
      <c r="Z55" s="195"/>
      <c r="AA55" s="195"/>
      <c r="AB55" s="195"/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</row>
    <row r="56">
      <c r="A56" s="194"/>
      <c r="B56" s="194"/>
      <c r="C56" s="203"/>
      <c r="D56" s="249" t="s">
        <v>194</v>
      </c>
      <c r="E56" s="195">
        <f>'Prévisionnel 2017 SCN2'!F30</f>
        <v>10</v>
      </c>
      <c r="F56" s="195"/>
      <c r="G56" s="195"/>
      <c r="H56" s="195"/>
      <c r="I56" s="195"/>
      <c r="J56" s="195"/>
      <c r="K56" s="195">
        <f>'Prévisionnel 2017 SCN2'!L30</f>
        <v>100</v>
      </c>
      <c r="L56" s="195">
        <f>'Prévisionnel 2017 SCN2'!M30</f>
        <v>70.75</v>
      </c>
      <c r="M56" s="195">
        <f>'Prévisionnel 2017 SCN2'!N30</f>
        <v>66.61</v>
      </c>
      <c r="N56" s="195">
        <f>'Prévisionnel 2017 SCN2'!O30</f>
        <v>97.68</v>
      </c>
      <c r="O56" s="195"/>
      <c r="P56" s="261">
        <f>'Prévisionnel 2017 SCN2'!Q30</f>
        <v>3951.92</v>
      </c>
      <c r="Q56" s="234">
        <f>'Prévisionnel 2017 SCN3'!F75</f>
        <v>59</v>
      </c>
      <c r="R56" s="195">
        <f>'Prévisionnel 2017 SCN3'!G75</f>
        <v>50</v>
      </c>
      <c r="S56" s="195">
        <f>'Prévisionnel 2017 SCN3'!H75</f>
        <v>50</v>
      </c>
      <c r="T56" s="195">
        <f>'Prévisionnel 2017 SCN3'!I75</f>
        <v>50</v>
      </c>
      <c r="U56" s="195">
        <f>'Prévisionnel 2017 SCN3'!J75</f>
        <v>50</v>
      </c>
      <c r="V56" s="195">
        <f>'Prévisionnel 2017 SCN3'!K75</f>
        <v>50</v>
      </c>
      <c r="W56" s="195">
        <f>'Prévisionnel 2017 SCN3'!L75</f>
        <v>50</v>
      </c>
      <c r="X56" s="195">
        <f>'Prévisionnel 2017 SCN3'!M75</f>
        <v>50</v>
      </c>
      <c r="Y56" s="195">
        <f>'Prévisionnel 2017 SCN3'!N75</f>
        <v>50</v>
      </c>
      <c r="Z56" s="195">
        <f>'Prévisionnel 2017 SCN3'!O75</f>
        <v>50</v>
      </c>
      <c r="AA56" s="195">
        <f>'Prévisionnel 2017 SCN3'!P75</f>
        <v>50</v>
      </c>
      <c r="AB56" s="195">
        <f>'Prévisionnel 2017 SCN3'!Q75</f>
        <v>50</v>
      </c>
      <c r="AC56" s="194"/>
      <c r="AD56" s="194"/>
      <c r="AE56" s="194"/>
      <c r="AF56" s="194"/>
      <c r="AG56" s="194"/>
      <c r="AH56" s="194"/>
      <c r="AI56" s="194"/>
      <c r="AJ56" s="194"/>
      <c r="AK56" s="194"/>
      <c r="AL56" s="194"/>
    </row>
    <row r="57">
      <c r="A57" s="194"/>
      <c r="B57" s="194"/>
      <c r="C57" s="203"/>
      <c r="D57" s="249" t="s">
        <v>208</v>
      </c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261"/>
      <c r="Q57" s="234">
        <f>'Prévisionnel 2017 SCN3'!F76</f>
        <v>897.3475335</v>
      </c>
      <c r="R57" s="234">
        <f>'Prévisionnel 2017 SCN3'!G76</f>
        <v>897.3475335</v>
      </c>
      <c r="S57" s="234">
        <f>'Prévisionnel 2017 SCN3'!H76</f>
        <v>897.3475335</v>
      </c>
      <c r="T57" s="234">
        <f>'Prévisionnel 2017 SCN3'!I76</f>
        <v>897.3475335</v>
      </c>
      <c r="U57" s="234">
        <f>'Prévisionnel 2017 SCN3'!J76</f>
        <v>897.3475335</v>
      </c>
      <c r="V57" s="234">
        <f>'Prévisionnel 2017 SCN3'!K76</f>
        <v>897.3475335</v>
      </c>
      <c r="W57" s="234">
        <f>'Prévisionnel 2017 SCN3'!L76</f>
        <v>897.3475335</v>
      </c>
      <c r="X57" s="234">
        <f>'Prévisionnel 2017 SCN3'!M76</f>
        <v>897.3475335</v>
      </c>
      <c r="Y57" s="234">
        <f>'Prévisionnel 2017 SCN3'!N76</f>
        <v>897.3475335</v>
      </c>
      <c r="Z57" s="234">
        <f>'Prévisionnel 2017 SCN3'!O76</f>
        <v>897.3475335</v>
      </c>
      <c r="AA57" s="234">
        <f>'Prévisionnel 2017 SCN3'!P76</f>
        <v>897.3475335</v>
      </c>
      <c r="AB57" s="234">
        <f>'Prévisionnel 2017 SCN3'!Q76</f>
        <v>897.3475335</v>
      </c>
      <c r="AC57" s="194"/>
      <c r="AD57" s="194"/>
      <c r="AE57" s="194"/>
      <c r="AF57" s="194"/>
      <c r="AG57" s="194"/>
      <c r="AH57" s="194"/>
      <c r="AI57" s="194"/>
      <c r="AJ57" s="194"/>
      <c r="AK57" s="194"/>
      <c r="AL57" s="194"/>
    </row>
    <row r="58">
      <c r="A58" s="194"/>
      <c r="B58" s="194"/>
      <c r="C58" s="203"/>
      <c r="D58" s="225" t="s">
        <v>196</v>
      </c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261"/>
      <c r="Q58" s="266"/>
      <c r="R58" s="264"/>
      <c r="S58" s="264"/>
      <c r="T58" s="264"/>
      <c r="U58" s="264"/>
      <c r="V58" s="264"/>
      <c r="W58" s="264"/>
      <c r="X58" s="264"/>
      <c r="Y58" s="264"/>
      <c r="Z58" s="264"/>
      <c r="AA58" s="264"/>
      <c r="AB58" s="264"/>
      <c r="AC58" s="194"/>
      <c r="AD58" s="194"/>
      <c r="AE58" s="194"/>
      <c r="AF58" s="194"/>
      <c r="AG58" s="194"/>
      <c r="AH58" s="194"/>
      <c r="AI58" s="194"/>
      <c r="AJ58" s="194"/>
      <c r="AK58" s="194"/>
      <c r="AL58" s="194"/>
    </row>
    <row r="59">
      <c r="A59" s="194"/>
      <c r="B59" s="194"/>
      <c r="C59" s="203"/>
      <c r="D59" s="253" t="s">
        <v>197</v>
      </c>
      <c r="E59" s="195">
        <f t="shared" ref="E59:AB59" si="6">SUM(E46:E58)</f>
        <v>10</v>
      </c>
      <c r="F59" s="195">
        <f t="shared" si="6"/>
        <v>13.64</v>
      </c>
      <c r="G59" s="195">
        <f t="shared" si="6"/>
        <v>0</v>
      </c>
      <c r="H59" s="195">
        <f t="shared" si="6"/>
        <v>0</v>
      </c>
      <c r="I59" s="195">
        <f t="shared" si="6"/>
        <v>29.72</v>
      </c>
      <c r="J59" s="195">
        <f t="shared" si="6"/>
        <v>650</v>
      </c>
      <c r="K59" s="195">
        <f t="shared" si="6"/>
        <v>100</v>
      </c>
      <c r="L59" s="195">
        <f t="shared" si="6"/>
        <v>70.75</v>
      </c>
      <c r="M59" s="195">
        <f t="shared" si="6"/>
        <v>126.33</v>
      </c>
      <c r="N59" s="195">
        <f t="shared" si="6"/>
        <v>97.68</v>
      </c>
      <c r="O59" s="195">
        <f t="shared" si="6"/>
        <v>327.88</v>
      </c>
      <c r="P59" s="261">
        <f t="shared" si="6"/>
        <v>11042.93</v>
      </c>
      <c r="Q59" s="234">
        <f t="shared" si="6"/>
        <v>1669.447533</v>
      </c>
      <c r="R59" s="195">
        <f t="shared" si="6"/>
        <v>997.3475335</v>
      </c>
      <c r="S59" s="195">
        <f t="shared" si="6"/>
        <v>9497.347533</v>
      </c>
      <c r="T59" s="195">
        <f t="shared" si="6"/>
        <v>997.3475335</v>
      </c>
      <c r="U59" s="195">
        <f t="shared" si="6"/>
        <v>997.3475335</v>
      </c>
      <c r="V59" s="195">
        <f t="shared" si="6"/>
        <v>997.3475335</v>
      </c>
      <c r="W59" s="195">
        <f t="shared" si="6"/>
        <v>997.3475335</v>
      </c>
      <c r="X59" s="195">
        <f t="shared" si="6"/>
        <v>997.3475335</v>
      </c>
      <c r="Y59" s="195">
        <f t="shared" si="6"/>
        <v>997.3475335</v>
      </c>
      <c r="Z59" s="195">
        <f t="shared" si="6"/>
        <v>997.3475335</v>
      </c>
      <c r="AA59" s="195">
        <f t="shared" si="6"/>
        <v>997.3475335</v>
      </c>
      <c r="AB59" s="195">
        <f t="shared" si="6"/>
        <v>997.3475335</v>
      </c>
      <c r="AC59" s="194"/>
      <c r="AD59" s="194"/>
      <c r="AE59" s="194"/>
      <c r="AF59" s="194"/>
      <c r="AG59" s="194"/>
      <c r="AH59" s="194"/>
      <c r="AI59" s="194"/>
      <c r="AJ59" s="194"/>
      <c r="AK59" s="194"/>
      <c r="AL59" s="194"/>
    </row>
    <row r="60">
      <c r="A60" s="194"/>
      <c r="B60" s="194"/>
      <c r="C60" s="203"/>
      <c r="D60" s="256" t="s">
        <v>198</v>
      </c>
      <c r="E60" s="279">
        <f t="shared" ref="E60:AB60" si="7">E44+E59</f>
        <v>2126.29</v>
      </c>
      <c r="F60" s="279">
        <f t="shared" si="7"/>
        <v>2693.79</v>
      </c>
      <c r="G60" s="279">
        <f t="shared" si="7"/>
        <v>2765.99</v>
      </c>
      <c r="H60" s="279">
        <f t="shared" si="7"/>
        <v>3610.04</v>
      </c>
      <c r="I60" s="279">
        <f t="shared" si="7"/>
        <v>3693.31</v>
      </c>
      <c r="J60" s="279">
        <f t="shared" si="7"/>
        <v>4974.57</v>
      </c>
      <c r="K60" s="279">
        <f t="shared" si="7"/>
        <v>2832.41</v>
      </c>
      <c r="L60" s="279">
        <f t="shared" si="7"/>
        <v>4516.61</v>
      </c>
      <c r="M60" s="279">
        <f t="shared" si="7"/>
        <v>5291.31</v>
      </c>
      <c r="N60" s="279">
        <f t="shared" si="7"/>
        <v>7732.77</v>
      </c>
      <c r="O60" s="279">
        <f t="shared" si="7"/>
        <v>11200.61</v>
      </c>
      <c r="P60" s="280">
        <f t="shared" si="7"/>
        <v>22825.06</v>
      </c>
      <c r="Q60" s="281">
        <f t="shared" si="7"/>
        <v>17947.67753</v>
      </c>
      <c r="R60" s="281">
        <f t="shared" si="7"/>
        <v>20958.73753</v>
      </c>
      <c r="S60" s="281">
        <f t="shared" si="7"/>
        <v>25535.13753</v>
      </c>
      <c r="T60" s="281">
        <f t="shared" si="7"/>
        <v>25425.13753</v>
      </c>
      <c r="U60" s="281">
        <f t="shared" si="7"/>
        <v>18742.13753</v>
      </c>
      <c r="V60" s="281">
        <f t="shared" si="7"/>
        <v>17678.91193</v>
      </c>
      <c r="W60" s="281">
        <f t="shared" si="7"/>
        <v>12665.77556</v>
      </c>
      <c r="X60" s="281">
        <f t="shared" si="7"/>
        <v>12595.27556</v>
      </c>
      <c r="Y60" s="281">
        <f t="shared" si="7"/>
        <v>17411.41193</v>
      </c>
      <c r="Z60" s="281">
        <f t="shared" si="7"/>
        <v>19876.91193</v>
      </c>
      <c r="AA60" s="281">
        <f t="shared" si="7"/>
        <v>19111.41193</v>
      </c>
      <c r="AB60" s="282">
        <f t="shared" si="7"/>
        <v>18708.91193</v>
      </c>
      <c r="AC60" s="194"/>
      <c r="AD60" s="194"/>
      <c r="AE60" s="194"/>
      <c r="AF60" s="194"/>
      <c r="AG60" s="194"/>
      <c r="AH60" s="194"/>
      <c r="AI60" s="194"/>
      <c r="AJ60" s="194"/>
      <c r="AK60" s="194"/>
      <c r="AL60" s="194"/>
    </row>
    <row r="61">
      <c r="A61" s="194"/>
      <c r="B61" s="194"/>
      <c r="C61" s="203"/>
      <c r="D61" s="283" t="s">
        <v>199</v>
      </c>
      <c r="E61" s="284">
        <f t="shared" ref="E61:AB61" si="8">E17-E60</f>
        <v>742.19</v>
      </c>
      <c r="F61" s="284">
        <f t="shared" si="8"/>
        <v>805.19</v>
      </c>
      <c r="G61" s="284">
        <f t="shared" si="8"/>
        <v>1235.26</v>
      </c>
      <c r="H61" s="284">
        <f t="shared" si="8"/>
        <v>513.32</v>
      </c>
      <c r="I61" s="284">
        <f t="shared" si="8"/>
        <v>463.05</v>
      </c>
      <c r="J61" s="284">
        <f t="shared" si="8"/>
        <v>-19.6</v>
      </c>
      <c r="K61" s="284">
        <f t="shared" si="8"/>
        <v>-462.06</v>
      </c>
      <c r="L61" s="284">
        <f t="shared" si="8"/>
        <v>-1349.32</v>
      </c>
      <c r="M61" s="284">
        <f t="shared" si="8"/>
        <v>4049.67</v>
      </c>
      <c r="N61" s="284">
        <f t="shared" si="8"/>
        <v>2459.32</v>
      </c>
      <c r="O61" s="284">
        <f t="shared" si="8"/>
        <v>2104.36</v>
      </c>
      <c r="P61" s="285">
        <f t="shared" si="8"/>
        <v>-8628.16</v>
      </c>
      <c r="Q61" s="284">
        <f t="shared" si="8"/>
        <v>18540.41247</v>
      </c>
      <c r="R61" s="284">
        <f t="shared" si="8"/>
        <v>-2982.197533</v>
      </c>
      <c r="S61" s="284">
        <f t="shared" si="8"/>
        <v>-6226.357533</v>
      </c>
      <c r="T61" s="284">
        <f t="shared" si="8"/>
        <v>-4712.857533</v>
      </c>
      <c r="U61" s="284">
        <f t="shared" si="8"/>
        <v>566.6424665</v>
      </c>
      <c r="V61" s="284">
        <f t="shared" si="8"/>
        <v>1450.568073</v>
      </c>
      <c r="W61" s="284">
        <f t="shared" si="8"/>
        <v>-1356.995564</v>
      </c>
      <c r="X61" s="284">
        <f t="shared" si="8"/>
        <v>-1286.495564</v>
      </c>
      <c r="Y61" s="284">
        <f t="shared" si="8"/>
        <v>1897.368073</v>
      </c>
      <c r="Z61" s="284">
        <f t="shared" si="8"/>
        <v>520.3680726</v>
      </c>
      <c r="AA61" s="284">
        <f t="shared" si="8"/>
        <v>197.3680726</v>
      </c>
      <c r="AB61" s="286">
        <f t="shared" si="8"/>
        <v>599.8680726</v>
      </c>
      <c r="AC61" s="194"/>
      <c r="AD61" s="194"/>
      <c r="AE61" s="194"/>
      <c r="AF61" s="194"/>
      <c r="AG61" s="194"/>
      <c r="AH61" s="194"/>
      <c r="AI61" s="194"/>
      <c r="AJ61" s="194"/>
      <c r="AK61" s="194"/>
      <c r="AL61" s="194"/>
    </row>
    <row r="62">
      <c r="A62" s="194"/>
      <c r="B62" s="194"/>
      <c r="C62" s="203"/>
      <c r="D62" s="287" t="s">
        <v>200</v>
      </c>
      <c r="E62" s="288">
        <f t="shared" ref="E62:AB62" si="9">E6+E61</f>
        <v>2942.19</v>
      </c>
      <c r="F62" s="288">
        <f t="shared" si="9"/>
        <v>3747.38</v>
      </c>
      <c r="G62" s="288">
        <f t="shared" si="9"/>
        <v>4982.64</v>
      </c>
      <c r="H62" s="288">
        <f t="shared" si="9"/>
        <v>5495.96</v>
      </c>
      <c r="I62" s="288">
        <f t="shared" si="9"/>
        <v>5959.01</v>
      </c>
      <c r="J62" s="288">
        <f t="shared" si="9"/>
        <v>5939.41</v>
      </c>
      <c r="K62" s="288">
        <f t="shared" si="9"/>
        <v>5477.35</v>
      </c>
      <c r="L62" s="288">
        <f t="shared" si="9"/>
        <v>4128.03</v>
      </c>
      <c r="M62" s="288">
        <f t="shared" si="9"/>
        <v>8177.7</v>
      </c>
      <c r="N62" s="288">
        <f t="shared" si="9"/>
        <v>10637.02</v>
      </c>
      <c r="O62" s="288">
        <f t="shared" si="9"/>
        <v>12741.38</v>
      </c>
      <c r="P62" s="289">
        <f t="shared" si="9"/>
        <v>4113.22</v>
      </c>
      <c r="Q62" s="288">
        <f t="shared" si="9"/>
        <v>22653.63247</v>
      </c>
      <c r="R62" s="288">
        <f t="shared" si="9"/>
        <v>19671.43493</v>
      </c>
      <c r="S62" s="288">
        <f t="shared" si="9"/>
        <v>13445.0774</v>
      </c>
      <c r="T62" s="288">
        <f t="shared" si="9"/>
        <v>8732.219866</v>
      </c>
      <c r="U62" s="288">
        <f t="shared" si="9"/>
        <v>9298.862333</v>
      </c>
      <c r="V62" s="288">
        <f t="shared" si="9"/>
        <v>10749.43041</v>
      </c>
      <c r="W62" s="288">
        <f t="shared" si="9"/>
        <v>9392.434842</v>
      </c>
      <c r="X62" s="288">
        <f t="shared" si="9"/>
        <v>8105.939278</v>
      </c>
      <c r="Y62" s="288">
        <f t="shared" si="9"/>
        <v>10003.30735</v>
      </c>
      <c r="Z62" s="288">
        <f t="shared" si="9"/>
        <v>10523.67542</v>
      </c>
      <c r="AA62" s="288">
        <f t="shared" si="9"/>
        <v>10721.0435</v>
      </c>
      <c r="AB62" s="290">
        <f t="shared" si="9"/>
        <v>11320.91157</v>
      </c>
      <c r="AC62" s="194"/>
      <c r="AD62" s="194"/>
      <c r="AE62" s="194"/>
      <c r="AF62" s="194"/>
      <c r="AG62" s="194"/>
      <c r="AH62" s="194"/>
      <c r="AI62" s="194"/>
      <c r="AJ62" s="194"/>
      <c r="AK62" s="194"/>
      <c r="AL62" s="194"/>
    </row>
    <row r="63">
      <c r="A63" s="194"/>
      <c r="B63" s="194"/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6"/>
      <c r="Q63" s="194"/>
      <c r="R63" s="194"/>
      <c r="S63" s="194"/>
      <c r="T63" s="194"/>
      <c r="U63" s="194"/>
      <c r="V63" s="194"/>
      <c r="W63" s="194"/>
      <c r="X63" s="194"/>
      <c r="Y63" s="194"/>
      <c r="Z63" s="194"/>
      <c r="AA63" s="194"/>
      <c r="AB63" s="194"/>
      <c r="AC63" s="194"/>
      <c r="AD63" s="194"/>
      <c r="AE63" s="194"/>
      <c r="AF63" s="194"/>
      <c r="AG63" s="194"/>
      <c r="AH63" s="194"/>
      <c r="AI63" s="194"/>
      <c r="AJ63" s="194"/>
      <c r="AK63" s="194"/>
      <c r="AL63" s="194"/>
    </row>
    <row r="64">
      <c r="A64" s="194"/>
      <c r="B64" s="194"/>
      <c r="C64" s="194"/>
      <c r="D64" s="291" t="s">
        <v>201</v>
      </c>
      <c r="E64" s="291"/>
      <c r="F64" s="291"/>
      <c r="G64" s="291"/>
      <c r="H64" s="291"/>
      <c r="I64" s="291"/>
      <c r="J64" s="291"/>
      <c r="K64" s="291"/>
      <c r="L64" s="291"/>
      <c r="M64" s="291"/>
      <c r="N64" s="291"/>
      <c r="O64" s="291"/>
      <c r="P64" s="292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194"/>
      <c r="AK64" s="194"/>
      <c r="AL64" s="194"/>
    </row>
    <row r="65">
      <c r="A65" s="194"/>
      <c r="B65" s="194"/>
      <c r="C65" s="194"/>
      <c r="D65" s="293" t="s">
        <v>202</v>
      </c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194"/>
      <c r="Z65" s="194"/>
      <c r="AA65" s="194"/>
      <c r="AB65" s="194"/>
      <c r="AC65" s="194"/>
      <c r="AD65" s="194"/>
      <c r="AE65" s="194"/>
      <c r="AF65" s="194"/>
      <c r="AG65" s="194"/>
      <c r="AH65" s="194"/>
      <c r="AI65" s="194"/>
      <c r="AJ65" s="194"/>
      <c r="AK65" s="194"/>
      <c r="AL65" s="194"/>
    </row>
    <row r="66">
      <c r="A66" s="194"/>
      <c r="B66" s="194"/>
      <c r="C66" s="194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6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194"/>
      <c r="AK66" s="194"/>
      <c r="AL66" s="194"/>
    </row>
    <row r="67">
      <c r="A67" s="194"/>
      <c r="B67" s="194"/>
      <c r="C67" s="194"/>
      <c r="D67" s="294" t="s">
        <v>203</v>
      </c>
      <c r="E67" s="294"/>
      <c r="F67" s="294"/>
      <c r="G67" s="294"/>
      <c r="H67" s="294"/>
      <c r="I67" s="294"/>
      <c r="J67" s="294"/>
      <c r="K67" s="294"/>
      <c r="L67" s="294"/>
      <c r="M67" s="294"/>
      <c r="N67" s="294"/>
      <c r="O67" s="294"/>
      <c r="P67" s="295"/>
      <c r="Q67" s="194"/>
      <c r="R67" s="194"/>
      <c r="S67" s="194"/>
      <c r="T67" s="194"/>
      <c r="U67" s="194"/>
      <c r="V67" s="194"/>
      <c r="W67" s="194"/>
      <c r="X67" s="194"/>
      <c r="Y67" s="194"/>
      <c r="Z67" s="194"/>
      <c r="AA67" s="194"/>
      <c r="AB67" s="194"/>
      <c r="AC67" s="194"/>
      <c r="AD67" s="194"/>
      <c r="AE67" s="194"/>
      <c r="AF67" s="194"/>
      <c r="AG67" s="194"/>
      <c r="AH67" s="194"/>
      <c r="AI67" s="194"/>
      <c r="AJ67" s="194"/>
      <c r="AK67" s="194"/>
      <c r="AL67" s="194"/>
    </row>
    <row r="68">
      <c r="A68" s="194"/>
      <c r="B68" s="194"/>
      <c r="C68" s="194"/>
      <c r="D68" s="296" t="s">
        <v>204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194"/>
      <c r="AB68" s="194"/>
      <c r="AC68" s="194"/>
      <c r="AD68" s="194"/>
      <c r="AE68" s="194"/>
      <c r="AF68" s="194"/>
      <c r="AG68" s="194"/>
      <c r="AH68" s="194"/>
      <c r="AI68" s="194"/>
      <c r="AJ68" s="194"/>
      <c r="AK68" s="194"/>
      <c r="AL68" s="194"/>
    </row>
    <row r="69">
      <c r="A69" s="194"/>
      <c r="B69" s="194"/>
      <c r="C69" s="194"/>
      <c r="D69" s="13"/>
      <c r="AA69" s="194"/>
      <c r="AB69" s="194"/>
      <c r="AC69" s="194"/>
      <c r="AD69" s="194"/>
      <c r="AE69" s="194"/>
      <c r="AF69" s="194"/>
      <c r="AG69" s="194"/>
      <c r="AH69" s="194"/>
      <c r="AI69" s="194"/>
      <c r="AJ69" s="194"/>
      <c r="AK69" s="194"/>
      <c r="AL69" s="194"/>
    </row>
    <row r="70">
      <c r="A70" s="194"/>
      <c r="B70" s="194"/>
      <c r="C70" s="194"/>
      <c r="D70" s="1"/>
      <c r="Y70" s="194"/>
      <c r="Z70" s="194"/>
      <c r="AA70" s="194"/>
      <c r="AB70" s="194"/>
      <c r="AC70" s="194"/>
      <c r="AD70" s="194"/>
      <c r="AE70" s="194"/>
      <c r="AF70" s="194"/>
      <c r="AG70" s="194"/>
      <c r="AH70" s="194"/>
      <c r="AI70" s="194"/>
      <c r="AJ70" s="194"/>
      <c r="AK70" s="194"/>
      <c r="AL70" s="194"/>
    </row>
    <row r="71">
      <c r="A71" s="194"/>
      <c r="B71" s="194"/>
      <c r="C71" s="194"/>
      <c r="D71" s="297" t="s">
        <v>205</v>
      </c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194"/>
      <c r="AB71" s="194"/>
      <c r="AC71" s="194"/>
      <c r="AD71" s="194"/>
      <c r="AE71" s="194"/>
      <c r="AF71" s="194"/>
      <c r="AG71" s="194"/>
      <c r="AH71" s="194"/>
      <c r="AI71" s="194"/>
      <c r="AJ71" s="194"/>
      <c r="AK71" s="194"/>
      <c r="AL71" s="194"/>
    </row>
    <row r="72">
      <c r="A72" s="1"/>
      <c r="X72" s="194"/>
      <c r="Y72" s="194"/>
      <c r="Z72" s="194"/>
      <c r="AA72" s="194"/>
      <c r="AB72" s="194"/>
      <c r="AC72" s="194"/>
      <c r="AD72" s="194"/>
      <c r="AE72" s="194"/>
      <c r="AF72" s="194"/>
      <c r="AG72" s="194"/>
      <c r="AH72" s="194"/>
      <c r="AI72" s="194"/>
      <c r="AJ72" s="194"/>
      <c r="AK72" s="194"/>
      <c r="AL72" s="1"/>
    </row>
    <row r="73">
      <c r="A73" s="194"/>
      <c r="B73" s="194"/>
      <c r="C73" s="194"/>
      <c r="D73" s="298" t="s">
        <v>206</v>
      </c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194"/>
      <c r="Z73" s="194"/>
      <c r="AA73" s="194"/>
      <c r="AB73" s="194"/>
      <c r="AC73" s="194"/>
      <c r="AD73" s="194"/>
      <c r="AE73" s="194"/>
      <c r="AF73" s="194"/>
      <c r="AG73" s="194"/>
      <c r="AH73" s="194"/>
      <c r="AI73" s="194"/>
      <c r="AJ73" s="194"/>
      <c r="AK73" s="194"/>
      <c r="AL73" s="194"/>
    </row>
    <row r="74">
      <c r="A74" s="194"/>
      <c r="B74" s="194"/>
      <c r="C74" s="194"/>
      <c r="D74" s="1"/>
      <c r="Y74" s="194"/>
      <c r="Z74" s="194"/>
      <c r="AA74" s="194"/>
      <c r="AB74" s="194"/>
      <c r="AC74" s="194"/>
      <c r="AD74" s="194"/>
      <c r="AE74" s="194"/>
      <c r="AF74" s="194"/>
      <c r="AG74" s="194"/>
      <c r="AH74" s="194"/>
      <c r="AI74" s="194"/>
      <c r="AJ74" s="194"/>
      <c r="AK74" s="194"/>
      <c r="AL74" s="194"/>
    </row>
    <row r="75">
      <c r="A75" s="194"/>
      <c r="B75" s="194"/>
      <c r="C75" s="194"/>
      <c r="D75" s="194"/>
      <c r="E75" s="194"/>
      <c r="F75" s="194"/>
      <c r="G75" s="194"/>
      <c r="H75" s="194"/>
      <c r="I75" s="194"/>
      <c r="J75" s="194"/>
      <c r="K75" s="194"/>
      <c r="L75" s="194"/>
      <c r="M75" s="194"/>
      <c r="N75" s="194"/>
      <c r="O75" s="194"/>
      <c r="P75" s="196"/>
      <c r="Q75" s="194"/>
      <c r="R75" s="194"/>
      <c r="S75" s="194"/>
      <c r="T75" s="194"/>
      <c r="U75" s="194"/>
      <c r="V75" s="194"/>
      <c r="W75" s="194"/>
      <c r="X75" s="194"/>
      <c r="Y75" s="194"/>
      <c r="Z75" s="194"/>
      <c r="AA75" s="299"/>
      <c r="AB75" s="194"/>
      <c r="AC75" s="194"/>
      <c r="AD75" s="194"/>
      <c r="AE75" s="194"/>
      <c r="AF75" s="194"/>
      <c r="AG75" s="194"/>
      <c r="AH75" s="194"/>
      <c r="AI75" s="194"/>
      <c r="AJ75" s="194"/>
      <c r="AK75" s="194"/>
      <c r="AL75" s="194"/>
    </row>
    <row r="76">
      <c r="A76" s="194"/>
      <c r="B76" s="194"/>
      <c r="C76" s="299"/>
      <c r="D76" s="1"/>
      <c r="Y76" s="194"/>
      <c r="Z76" s="194"/>
      <c r="AA76" s="194"/>
      <c r="AB76" s="194"/>
      <c r="AC76" s="194"/>
      <c r="AD76" s="194"/>
      <c r="AE76" s="194"/>
      <c r="AF76" s="194"/>
      <c r="AG76" s="194"/>
      <c r="AH76" s="194"/>
      <c r="AI76" s="194"/>
      <c r="AJ76" s="194"/>
      <c r="AK76" s="194"/>
      <c r="AL76" s="194"/>
    </row>
    <row r="77">
      <c r="A77" s="194"/>
      <c r="B77" s="194"/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6"/>
      <c r="Q77" s="194"/>
      <c r="R77" s="194"/>
      <c r="S77" s="194"/>
      <c r="T77" s="194"/>
      <c r="U77" s="194"/>
      <c r="V77" s="194"/>
      <c r="W77" s="194"/>
      <c r="X77" s="194"/>
      <c r="Y77" s="194"/>
      <c r="Z77" s="194"/>
      <c r="AA77" s="299"/>
      <c r="AB77" s="194"/>
      <c r="AC77" s="194"/>
      <c r="AD77" s="194"/>
      <c r="AE77" s="194"/>
      <c r="AF77" s="194"/>
      <c r="AG77" s="194"/>
      <c r="AH77" s="194"/>
      <c r="AI77" s="194"/>
      <c r="AJ77" s="194"/>
      <c r="AK77" s="194"/>
      <c r="AL77" s="194"/>
    </row>
    <row r="78">
      <c r="A78" s="194"/>
      <c r="B78" s="194"/>
      <c r="C78" s="299"/>
      <c r="D78" s="194"/>
      <c r="E78" s="194"/>
      <c r="F78" s="194"/>
      <c r="G78" s="194"/>
      <c r="H78" s="194"/>
      <c r="I78" s="194"/>
      <c r="J78" s="194"/>
      <c r="K78" s="194"/>
      <c r="L78" s="194"/>
      <c r="M78" s="194"/>
      <c r="N78" s="194"/>
      <c r="O78" s="194"/>
      <c r="P78" s="196"/>
      <c r="Q78" s="194"/>
      <c r="R78" s="194"/>
      <c r="S78" s="194"/>
      <c r="T78" s="194"/>
      <c r="U78" s="194"/>
      <c r="V78" s="194"/>
      <c r="W78" s="194"/>
      <c r="X78" s="194"/>
      <c r="Y78" s="194"/>
      <c r="Z78" s="194"/>
      <c r="AA78" s="194"/>
      <c r="AB78" s="194"/>
      <c r="AC78" s="194"/>
      <c r="AD78" s="194"/>
      <c r="AE78" s="194"/>
      <c r="AF78" s="194"/>
      <c r="AG78" s="194"/>
      <c r="AH78" s="194"/>
      <c r="AI78" s="194"/>
      <c r="AJ78" s="194"/>
      <c r="AK78" s="194"/>
      <c r="AL78" s="194"/>
    </row>
    <row r="79">
      <c r="A79" s="194"/>
      <c r="B79" s="194"/>
      <c r="C79" s="194"/>
      <c r="D79" s="194"/>
      <c r="E79" s="194"/>
      <c r="F79" s="194"/>
      <c r="G79" s="194"/>
      <c r="H79" s="194"/>
      <c r="I79" s="194"/>
      <c r="J79" s="194"/>
      <c r="K79" s="194"/>
      <c r="L79" s="194"/>
      <c r="M79" s="194"/>
      <c r="N79" s="194"/>
      <c r="O79" s="194"/>
      <c r="P79" s="196"/>
      <c r="Q79" s="194"/>
      <c r="R79" s="194"/>
      <c r="S79" s="194"/>
      <c r="T79" s="194"/>
      <c r="U79" s="194"/>
      <c r="V79" s="194"/>
      <c r="W79" s="194"/>
      <c r="X79" s="194"/>
      <c r="Y79" s="194"/>
      <c r="Z79" s="194"/>
      <c r="AA79" s="194"/>
      <c r="AB79" s="194"/>
      <c r="AC79" s="194"/>
      <c r="AD79" s="194"/>
      <c r="AE79" s="194"/>
      <c r="AF79" s="194"/>
      <c r="AG79" s="194"/>
      <c r="AH79" s="194"/>
      <c r="AI79" s="194"/>
      <c r="AJ79" s="194"/>
      <c r="AK79" s="194"/>
      <c r="AL79" s="194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300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</sheetData>
  <mergeCells count="41">
    <mergeCell ref="I4:I5"/>
    <mergeCell ref="K4:K5"/>
    <mergeCell ref="J4:J5"/>
    <mergeCell ref="P4:P5"/>
    <mergeCell ref="E4:E5"/>
    <mergeCell ref="F4:F5"/>
    <mergeCell ref="G4:G5"/>
    <mergeCell ref="H4:H5"/>
    <mergeCell ref="E7:P8"/>
    <mergeCell ref="L4:L5"/>
    <mergeCell ref="AA4:AA5"/>
    <mergeCell ref="AB4:AB5"/>
    <mergeCell ref="U4:U5"/>
    <mergeCell ref="V4:V5"/>
    <mergeCell ref="M4:M5"/>
    <mergeCell ref="N4:N5"/>
    <mergeCell ref="R4:R5"/>
    <mergeCell ref="Q4:Q5"/>
    <mergeCell ref="O4:O5"/>
    <mergeCell ref="S4:S5"/>
    <mergeCell ref="Q7:AB8"/>
    <mergeCell ref="Q18:AB18"/>
    <mergeCell ref="Q45:AB45"/>
    <mergeCell ref="Z4:Z5"/>
    <mergeCell ref="X4:X5"/>
    <mergeCell ref="Y4:Y5"/>
    <mergeCell ref="T4:T5"/>
    <mergeCell ref="Q1:AB1"/>
    <mergeCell ref="W4:W5"/>
    <mergeCell ref="Q19:AB20"/>
    <mergeCell ref="D68:Z69"/>
    <mergeCell ref="D65:X65"/>
    <mergeCell ref="E45:P45"/>
    <mergeCell ref="D70:X70"/>
    <mergeCell ref="D71:Z71"/>
    <mergeCell ref="A72:W72"/>
    <mergeCell ref="D73:X73"/>
    <mergeCell ref="D76:X76"/>
    <mergeCell ref="D74:X74"/>
    <mergeCell ref="E18:P18"/>
    <mergeCell ref="E19:P20"/>
  </mergeCell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1.22" defaultRowHeight="15.0"/>
  <cols>
    <col customWidth="1" hidden="1" min="1" max="2" width="7.67"/>
    <col customWidth="1" min="3" max="3" width="6.67"/>
    <col customWidth="1" min="4" max="4" width="27.22"/>
    <col customWidth="1" min="5" max="5" width="10.67"/>
    <col customWidth="1" min="6" max="17" width="12.11"/>
    <col customWidth="1" min="18" max="18" width="72.11"/>
    <col customWidth="1" min="19" max="28" width="7.67"/>
  </cols>
  <sheetData>
    <row r="1" ht="41.25" customHeight="1">
      <c r="A1" s="4"/>
      <c r="B1" s="4"/>
      <c r="C1" s="6"/>
      <c r="D1" s="24" t="s">
        <v>2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8"/>
      <c r="R1" s="4"/>
      <c r="S1" s="1"/>
      <c r="T1" s="1"/>
      <c r="U1" s="1"/>
      <c r="V1" s="1"/>
      <c r="W1" s="1"/>
      <c r="X1" s="1"/>
      <c r="Y1" s="1"/>
      <c r="Z1" s="1"/>
      <c r="AA1" s="1"/>
      <c r="AB1" s="1"/>
    </row>
    <row r="2" ht="13.5" customHeight="1">
      <c r="A2" s="26" t="s">
        <v>12</v>
      </c>
      <c r="B2" s="28" t="s">
        <v>13</v>
      </c>
      <c r="C2" s="30"/>
      <c r="D2" s="32"/>
      <c r="E2" s="34" t="s">
        <v>14</v>
      </c>
      <c r="F2" s="35">
        <v>42370.0</v>
      </c>
      <c r="G2" s="35">
        <v>42401.0</v>
      </c>
      <c r="H2" s="35">
        <v>42430.0</v>
      </c>
      <c r="I2" s="35">
        <v>42461.0</v>
      </c>
      <c r="J2" s="35">
        <v>42491.0</v>
      </c>
      <c r="K2" s="35">
        <v>42522.0</v>
      </c>
      <c r="L2" s="35">
        <v>42552.0</v>
      </c>
      <c r="M2" s="35">
        <v>42583.0</v>
      </c>
      <c r="N2" s="35">
        <v>42614.0</v>
      </c>
      <c r="O2" s="35">
        <v>42644.0</v>
      </c>
      <c r="P2" s="35">
        <v>42675.0</v>
      </c>
      <c r="Q2" s="37">
        <v>42705.0</v>
      </c>
      <c r="R2" s="252" t="s">
        <v>155</v>
      </c>
      <c r="S2" s="1"/>
      <c r="T2" s="1"/>
      <c r="U2" s="1"/>
      <c r="V2" s="1"/>
      <c r="W2" s="1"/>
      <c r="X2" s="1"/>
      <c r="Y2" s="1"/>
      <c r="Z2" s="1"/>
      <c r="AA2" s="1"/>
      <c r="AB2" s="1"/>
    </row>
    <row r="3" ht="13.5" customHeight="1">
      <c r="A3" s="1"/>
      <c r="B3" s="1"/>
      <c r="C3" s="1"/>
      <c r="D3" s="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"/>
      <c r="S3" s="1"/>
      <c r="T3" s="1"/>
      <c r="U3" s="1"/>
      <c r="V3" s="1"/>
      <c r="W3" s="1"/>
      <c r="X3" s="1"/>
      <c r="Y3" s="1"/>
      <c r="Z3" s="1"/>
      <c r="AA3" s="1"/>
      <c r="AB3" s="1"/>
    </row>
    <row r="4" ht="13.5" customHeight="1">
      <c r="A4" s="1"/>
      <c r="B4" s="1"/>
      <c r="C4" s="41"/>
      <c r="D4" s="48" t="s">
        <v>22</v>
      </c>
      <c r="E4" s="50">
        <f>+SUM(E5:E8)</f>
        <v>76175.98</v>
      </c>
      <c r="F4" s="52">
        <f t="shared" ref="F4:Q4" si="1">SUM(F5:F8)</f>
        <v>2868.48</v>
      </c>
      <c r="G4" s="52">
        <f t="shared" si="1"/>
        <v>3498.98</v>
      </c>
      <c r="H4" s="52">
        <f t="shared" si="1"/>
        <v>4001.25</v>
      </c>
      <c r="I4" s="52">
        <f t="shared" si="1"/>
        <v>4123.36</v>
      </c>
      <c r="J4" s="52">
        <f t="shared" si="1"/>
        <v>4156.36</v>
      </c>
      <c r="K4" s="52">
        <f t="shared" si="1"/>
        <v>4954.97</v>
      </c>
      <c r="L4" s="52">
        <f t="shared" si="1"/>
        <v>2370.35</v>
      </c>
      <c r="M4" s="52">
        <f t="shared" si="1"/>
        <v>3167.29</v>
      </c>
      <c r="N4" s="52">
        <f t="shared" si="1"/>
        <v>9340.98</v>
      </c>
      <c r="O4" s="52">
        <f t="shared" si="1"/>
        <v>10192.09</v>
      </c>
      <c r="P4" s="52">
        <f t="shared" si="1"/>
        <v>13304.97</v>
      </c>
      <c r="Q4" s="54">
        <f t="shared" si="1"/>
        <v>14196.9</v>
      </c>
      <c r="R4" s="4"/>
      <c r="S4" s="1"/>
      <c r="T4" s="1"/>
      <c r="U4" s="1"/>
      <c r="V4" s="1"/>
      <c r="W4" s="1"/>
      <c r="X4" s="1"/>
      <c r="Y4" s="1"/>
      <c r="Z4" s="1"/>
      <c r="AA4" s="1"/>
      <c r="AB4" s="1"/>
    </row>
    <row r="5" ht="13.5" customHeight="1">
      <c r="A5" s="1"/>
      <c r="B5" s="1"/>
      <c r="C5" s="56">
        <v>707.0</v>
      </c>
      <c r="D5" s="58" t="s">
        <v>23</v>
      </c>
      <c r="E5" s="60">
        <f t="shared" ref="E5:E8" si="2">+SUM(F5:Q5)</f>
        <v>56481.18</v>
      </c>
      <c r="F5" s="62">
        <v>2608.48</v>
      </c>
      <c r="G5" s="62">
        <v>2513.98</v>
      </c>
      <c r="H5" s="62">
        <v>3156.25</v>
      </c>
      <c r="I5" s="62">
        <v>3298.36</v>
      </c>
      <c r="J5" s="62">
        <v>3691.36</v>
      </c>
      <c r="K5" s="62">
        <v>4474.97</v>
      </c>
      <c r="L5" s="62">
        <v>2165.35</v>
      </c>
      <c r="M5" s="62">
        <v>2912.29</v>
      </c>
      <c r="N5" s="62">
        <v>5720.98</v>
      </c>
      <c r="O5" s="62">
        <v>5947.19</v>
      </c>
      <c r="P5" s="62">
        <v>8590.02</v>
      </c>
      <c r="Q5" s="64">
        <v>11401.95</v>
      </c>
      <c r="R5" s="4"/>
      <c r="S5" s="1"/>
      <c r="T5" s="1"/>
      <c r="U5" s="1"/>
      <c r="V5" s="1"/>
      <c r="W5" s="1"/>
      <c r="X5" s="1"/>
      <c r="Y5" s="1"/>
      <c r="Z5" s="1"/>
      <c r="AA5" s="1"/>
      <c r="AB5" s="1"/>
    </row>
    <row r="6" ht="13.5" customHeight="1">
      <c r="A6" s="1"/>
      <c r="B6" s="1"/>
      <c r="C6" s="56">
        <v>756.0</v>
      </c>
      <c r="D6" s="66" t="s">
        <v>25</v>
      </c>
      <c r="E6" s="60">
        <f t="shared" si="2"/>
        <v>11380</v>
      </c>
      <c r="F6" s="62">
        <v>260.0</v>
      </c>
      <c r="G6" s="62">
        <v>940.0</v>
      </c>
      <c r="H6" s="62">
        <v>805.0</v>
      </c>
      <c r="I6" s="62">
        <v>735.0</v>
      </c>
      <c r="J6" s="62">
        <v>415.0</v>
      </c>
      <c r="K6" s="62">
        <v>435.0</v>
      </c>
      <c r="L6" s="62">
        <v>205.0</v>
      </c>
      <c r="M6" s="62">
        <v>235.0</v>
      </c>
      <c r="N6" s="62">
        <v>1115.0</v>
      </c>
      <c r="O6" s="62">
        <v>1580.0</v>
      </c>
      <c r="P6" s="62">
        <v>3210.0</v>
      </c>
      <c r="Q6" s="64">
        <v>1445.0</v>
      </c>
      <c r="R6" s="4"/>
      <c r="S6" s="1"/>
      <c r="T6" s="1"/>
      <c r="U6" s="1"/>
      <c r="V6" s="1"/>
      <c r="W6" s="1"/>
      <c r="X6" s="1"/>
      <c r="Y6" s="1"/>
      <c r="Z6" s="1"/>
      <c r="AA6" s="1"/>
      <c r="AB6" s="1"/>
    </row>
    <row r="7" ht="13.5" customHeight="1">
      <c r="A7" s="1"/>
      <c r="B7" s="1"/>
      <c r="C7" s="56">
        <v>7561.0</v>
      </c>
      <c r="D7" s="66" t="s">
        <v>26</v>
      </c>
      <c r="E7" s="60">
        <f t="shared" si="2"/>
        <v>635</v>
      </c>
      <c r="F7" s="62">
        <v>0.0</v>
      </c>
      <c r="G7" s="62">
        <v>45.0</v>
      </c>
      <c r="H7" s="62">
        <v>40.0</v>
      </c>
      <c r="I7" s="62">
        <v>90.0</v>
      </c>
      <c r="J7" s="62">
        <v>50.0</v>
      </c>
      <c r="K7" s="62">
        <v>45.0</v>
      </c>
      <c r="L7" s="62">
        <v>0.0</v>
      </c>
      <c r="M7" s="62">
        <v>20.0</v>
      </c>
      <c r="N7" s="62">
        <v>105.0</v>
      </c>
      <c r="O7" s="62">
        <v>25.0</v>
      </c>
      <c r="P7" s="62">
        <v>185.0</v>
      </c>
      <c r="Q7" s="64">
        <v>30.0</v>
      </c>
      <c r="R7" s="4"/>
      <c r="S7" s="1"/>
      <c r="T7" s="1"/>
      <c r="U7" s="1"/>
      <c r="V7" s="1"/>
      <c r="W7" s="1"/>
      <c r="X7" s="1"/>
      <c r="Y7" s="1"/>
      <c r="Z7" s="1"/>
      <c r="AA7" s="1"/>
      <c r="AB7" s="1"/>
    </row>
    <row r="8" ht="13.5" customHeight="1">
      <c r="A8" s="1"/>
      <c r="B8" s="1"/>
      <c r="C8" s="56">
        <v>74.0</v>
      </c>
      <c r="D8" s="69" t="s">
        <v>28</v>
      </c>
      <c r="E8" s="70">
        <f t="shared" si="2"/>
        <v>7679.8</v>
      </c>
      <c r="F8" s="71"/>
      <c r="G8" s="71"/>
      <c r="H8" s="71"/>
      <c r="I8" s="71"/>
      <c r="J8" s="71"/>
      <c r="K8" s="71"/>
      <c r="L8" s="71"/>
      <c r="M8" s="71"/>
      <c r="N8" s="62">
        <v>2400.0</v>
      </c>
      <c r="O8" s="62">
        <v>2639.9</v>
      </c>
      <c r="P8" s="62">
        <v>1319.95</v>
      </c>
      <c r="Q8" s="64">
        <v>1319.95</v>
      </c>
      <c r="R8" s="4"/>
      <c r="S8" s="1"/>
      <c r="T8" s="1"/>
      <c r="U8" s="1"/>
      <c r="V8" s="1"/>
      <c r="W8" s="1"/>
      <c r="X8" s="1"/>
      <c r="Y8" s="1"/>
      <c r="Z8" s="1"/>
      <c r="AA8" s="1"/>
      <c r="AB8" s="1"/>
    </row>
    <row r="9" ht="13.5" customHeight="1">
      <c r="A9" s="1"/>
      <c r="B9" s="41"/>
      <c r="C9" s="41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4"/>
      <c r="S9" s="1"/>
      <c r="T9" s="1"/>
      <c r="U9" s="1"/>
      <c r="V9" s="1"/>
      <c r="W9" s="1"/>
      <c r="X9" s="1"/>
      <c r="Y9" s="1"/>
      <c r="Z9" s="1"/>
      <c r="AA9" s="1"/>
      <c r="AB9" s="1"/>
    </row>
    <row r="10" ht="13.5" customHeight="1">
      <c r="A10" s="1"/>
      <c r="B10" s="1"/>
      <c r="C10" s="41"/>
      <c r="D10" s="48" t="s">
        <v>29</v>
      </c>
      <c r="E10" s="77">
        <f>+SUM(E13:E30)</f>
        <v>66909.03</v>
      </c>
      <c r="F10" s="80">
        <f t="shared" ref="F10:Q10" si="3">SUM(F11:F30)</f>
        <v>2126.29</v>
      </c>
      <c r="G10" s="80">
        <f t="shared" si="3"/>
        <v>2693.79</v>
      </c>
      <c r="H10" s="80">
        <f t="shared" si="3"/>
        <v>2765.99</v>
      </c>
      <c r="I10" s="80">
        <f t="shared" si="3"/>
        <v>3610.04</v>
      </c>
      <c r="J10" s="80">
        <f t="shared" si="3"/>
        <v>3693.31</v>
      </c>
      <c r="K10" s="80">
        <f t="shared" si="3"/>
        <v>4974.57</v>
      </c>
      <c r="L10" s="80">
        <f t="shared" si="3"/>
        <v>2832.41</v>
      </c>
      <c r="M10" s="80">
        <f t="shared" si="3"/>
        <v>4516.61</v>
      </c>
      <c r="N10" s="80">
        <f t="shared" si="3"/>
        <v>5291.31</v>
      </c>
      <c r="O10" s="80">
        <f t="shared" si="3"/>
        <v>7732.77</v>
      </c>
      <c r="P10" s="80">
        <f t="shared" si="3"/>
        <v>11200.61</v>
      </c>
      <c r="Q10" s="83">
        <f t="shared" si="3"/>
        <v>22879.97</v>
      </c>
      <c r="R10" s="4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ht="13.5" customHeight="1">
      <c r="A11" s="1"/>
      <c r="B11" s="1"/>
      <c r="C11" s="56">
        <v>213.0</v>
      </c>
      <c r="D11" s="86" t="s">
        <v>36</v>
      </c>
      <c r="E11" s="88">
        <f t="shared" ref="E11:E30" si="4">+SUM(F11:Q11)</f>
        <v>0</v>
      </c>
      <c r="F11" s="62">
        <v>0.0</v>
      </c>
      <c r="G11" s="62">
        <v>0.0</v>
      </c>
      <c r="H11" s="62">
        <v>0.0</v>
      </c>
      <c r="I11" s="62">
        <v>0.0</v>
      </c>
      <c r="J11" s="62">
        <v>0.0</v>
      </c>
      <c r="K11" s="62">
        <v>0.0</v>
      </c>
      <c r="L11" s="62">
        <v>0.0</v>
      </c>
      <c r="M11" s="62">
        <v>0.0</v>
      </c>
      <c r="N11" s="62">
        <v>0.0</v>
      </c>
      <c r="O11" s="62">
        <v>0.0</v>
      </c>
      <c r="P11" s="62">
        <v>0.0</v>
      </c>
      <c r="Q11" s="64">
        <v>0.0</v>
      </c>
      <c r="R11" s="4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ht="13.5" customHeight="1">
      <c r="A12" s="1"/>
      <c r="B12" s="1"/>
      <c r="C12" s="56">
        <v>2184.0</v>
      </c>
      <c r="D12" s="86" t="s">
        <v>37</v>
      </c>
      <c r="E12" s="88">
        <f t="shared" si="4"/>
        <v>7408.64</v>
      </c>
      <c r="F12" s="62">
        <v>0.0</v>
      </c>
      <c r="G12" s="62">
        <v>0.0</v>
      </c>
      <c r="H12" s="62">
        <v>0.0</v>
      </c>
      <c r="I12" s="62">
        <v>0.0</v>
      </c>
      <c r="J12" s="62">
        <v>0.0</v>
      </c>
      <c r="K12" s="62">
        <v>0.0</v>
      </c>
      <c r="L12" s="62">
        <v>0.0</v>
      </c>
      <c r="M12" s="62">
        <v>0.0</v>
      </c>
      <c r="N12" s="62">
        <v>0.0</v>
      </c>
      <c r="O12" s="62">
        <v>0.0</v>
      </c>
      <c r="P12" s="62">
        <v>327.88</v>
      </c>
      <c r="Q12" s="64">
        <v>7080.76</v>
      </c>
      <c r="R12" s="4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ht="13.5" customHeight="1">
      <c r="A13" s="1"/>
      <c r="B13" s="1"/>
      <c r="C13" s="56">
        <v>2755.0</v>
      </c>
      <c r="D13" s="66" t="s">
        <v>38</v>
      </c>
      <c r="E13" s="88">
        <f t="shared" si="4"/>
        <v>650</v>
      </c>
      <c r="F13" s="62">
        <v>0.0</v>
      </c>
      <c r="G13" s="93">
        <v>0.0</v>
      </c>
      <c r="H13" s="62">
        <v>0.0</v>
      </c>
      <c r="I13" s="62">
        <v>0.0</v>
      </c>
      <c r="J13" s="62">
        <v>0.0</v>
      </c>
      <c r="K13" s="62">
        <v>650.0</v>
      </c>
      <c r="L13" s="62">
        <v>0.0</v>
      </c>
      <c r="M13" s="62">
        <v>0.0</v>
      </c>
      <c r="N13" s="62">
        <v>0.0</v>
      </c>
      <c r="O13" s="62">
        <v>0.0</v>
      </c>
      <c r="P13" s="62">
        <v>0.0</v>
      </c>
      <c r="Q13" s="64">
        <v>0.0</v>
      </c>
      <c r="R13" s="4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ht="13.5" customHeight="1">
      <c r="A14" s="1"/>
      <c r="B14" s="1"/>
      <c r="C14" s="56">
        <v>447.0</v>
      </c>
      <c r="D14" s="66" t="s">
        <v>39</v>
      </c>
      <c r="E14" s="60">
        <f t="shared" si="4"/>
        <v>0</v>
      </c>
      <c r="F14" s="62">
        <v>0.0</v>
      </c>
      <c r="G14" s="62">
        <v>0.0</v>
      </c>
      <c r="H14" s="62">
        <v>0.0</v>
      </c>
      <c r="I14" s="62">
        <v>0.0</v>
      </c>
      <c r="J14" s="62">
        <v>0.0</v>
      </c>
      <c r="K14" s="62">
        <v>0.0</v>
      </c>
      <c r="L14" s="62">
        <v>0.0</v>
      </c>
      <c r="M14" s="62">
        <v>0.0</v>
      </c>
      <c r="N14" s="62">
        <v>0.0</v>
      </c>
      <c r="O14" s="62">
        <v>0.0</v>
      </c>
      <c r="P14" s="62">
        <v>0.0</v>
      </c>
      <c r="Q14" s="64">
        <v>0.0</v>
      </c>
      <c r="R14" s="4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ht="13.5" customHeight="1">
      <c r="A15" s="1"/>
      <c r="B15" s="1"/>
      <c r="C15" s="56">
        <v>604.0</v>
      </c>
      <c r="D15" s="66" t="s">
        <v>40</v>
      </c>
      <c r="E15" s="60">
        <f t="shared" si="4"/>
        <v>231.2</v>
      </c>
      <c r="F15" s="62">
        <v>0.0</v>
      </c>
      <c r="G15" s="62">
        <v>0.0</v>
      </c>
      <c r="H15" s="62">
        <v>0.0</v>
      </c>
      <c r="I15" s="62">
        <v>0.0</v>
      </c>
      <c r="J15" s="62">
        <v>0.0</v>
      </c>
      <c r="K15" s="62">
        <v>0.0</v>
      </c>
      <c r="L15" s="62">
        <v>0.0</v>
      </c>
      <c r="M15" s="62">
        <v>0.0</v>
      </c>
      <c r="N15" s="62">
        <v>0.0</v>
      </c>
      <c r="O15" s="62">
        <v>109.4</v>
      </c>
      <c r="P15" s="62">
        <v>121.8</v>
      </c>
      <c r="Q15" s="64">
        <v>0.0</v>
      </c>
      <c r="R15" s="4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ht="13.5" customHeight="1">
      <c r="A16" s="1"/>
      <c r="B16" s="1"/>
      <c r="C16" s="56">
        <v>60612.0</v>
      </c>
      <c r="D16" s="66" t="s">
        <v>42</v>
      </c>
      <c r="E16" s="60">
        <f t="shared" si="4"/>
        <v>496.19</v>
      </c>
      <c r="F16" s="62">
        <v>0.0</v>
      </c>
      <c r="G16" s="62">
        <v>0.0</v>
      </c>
      <c r="H16" s="62">
        <v>0.0</v>
      </c>
      <c r="I16" s="62">
        <v>0.0</v>
      </c>
      <c r="J16" s="62">
        <v>0.0</v>
      </c>
      <c r="K16" s="62">
        <v>0.0</v>
      </c>
      <c r="L16" s="62">
        <v>0.0</v>
      </c>
      <c r="M16" s="62">
        <v>94.06</v>
      </c>
      <c r="N16" s="62">
        <v>0.0</v>
      </c>
      <c r="O16" s="62">
        <v>272.02</v>
      </c>
      <c r="P16" s="62">
        <v>0.0</v>
      </c>
      <c r="Q16" s="64">
        <v>130.11</v>
      </c>
      <c r="R16" s="4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ht="13.5" customHeight="1">
      <c r="A17" s="97"/>
      <c r="B17" s="97"/>
      <c r="C17" s="56">
        <v>60611.0</v>
      </c>
      <c r="D17" s="66" t="s">
        <v>44</v>
      </c>
      <c r="E17" s="60">
        <f t="shared" si="4"/>
        <v>54.91</v>
      </c>
      <c r="F17" s="62">
        <v>0.0</v>
      </c>
      <c r="G17" s="62">
        <v>0.0</v>
      </c>
      <c r="H17" s="62">
        <v>0.0</v>
      </c>
      <c r="I17" s="62">
        <v>0.0</v>
      </c>
      <c r="J17" s="62">
        <v>0.0</v>
      </c>
      <c r="K17" s="62">
        <v>0.0</v>
      </c>
      <c r="L17" s="62">
        <v>0.0</v>
      </c>
      <c r="M17" s="62">
        <v>0.0</v>
      </c>
      <c r="N17" s="62">
        <v>0.0</v>
      </c>
      <c r="O17" s="62">
        <v>0.0</v>
      </c>
      <c r="P17" s="62">
        <v>0.0</v>
      </c>
      <c r="Q17" s="64">
        <v>54.91</v>
      </c>
      <c r="R17" s="4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ht="13.5" customHeight="1">
      <c r="A18" s="97"/>
      <c r="B18" s="97"/>
      <c r="C18" s="56">
        <v>6064.0</v>
      </c>
      <c r="D18" s="66" t="s">
        <v>45</v>
      </c>
      <c r="E18" s="60">
        <f t="shared" si="4"/>
        <v>257.99</v>
      </c>
      <c r="F18" s="62">
        <v>22.95</v>
      </c>
      <c r="G18" s="62">
        <v>0.0</v>
      </c>
      <c r="H18" s="62">
        <v>0.0</v>
      </c>
      <c r="I18" s="62">
        <v>0.0</v>
      </c>
      <c r="J18" s="62">
        <v>95.69</v>
      </c>
      <c r="K18" s="62">
        <v>19.29</v>
      </c>
      <c r="L18" s="62">
        <v>0.0</v>
      </c>
      <c r="M18" s="62">
        <v>45.0</v>
      </c>
      <c r="N18" s="62">
        <v>40.0</v>
      </c>
      <c r="O18" s="62">
        <v>0.0</v>
      </c>
      <c r="P18" s="62">
        <v>35.06</v>
      </c>
      <c r="Q18" s="64">
        <v>0.0</v>
      </c>
      <c r="R18" s="4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ht="13.5" customHeight="1">
      <c r="A19" s="1"/>
      <c r="B19" s="1"/>
      <c r="C19" s="56">
        <v>607.0</v>
      </c>
      <c r="D19" s="58" t="s">
        <v>46</v>
      </c>
      <c r="E19" s="60">
        <f t="shared" si="4"/>
        <v>50108.64</v>
      </c>
      <c r="F19" s="62">
        <v>2052.17</v>
      </c>
      <c r="G19" s="62">
        <v>2632.85</v>
      </c>
      <c r="H19" s="62">
        <v>2718.69</v>
      </c>
      <c r="I19" s="62">
        <v>3501.68</v>
      </c>
      <c r="J19" s="62">
        <v>3254.84</v>
      </c>
      <c r="K19" s="62">
        <v>3496.88</v>
      </c>
      <c r="L19" s="62">
        <v>1901.82</v>
      </c>
      <c r="M19" s="62">
        <v>2222.31</v>
      </c>
      <c r="N19" s="62">
        <v>4826.15</v>
      </c>
      <c r="O19" s="62">
        <v>5957.03</v>
      </c>
      <c r="P19" s="62">
        <v>7142.99</v>
      </c>
      <c r="Q19" s="64">
        <v>10401.23</v>
      </c>
      <c r="R19" s="4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ht="13.5" customHeight="1">
      <c r="A20" s="1"/>
      <c r="B20" s="1"/>
      <c r="C20" s="56">
        <v>6132.0</v>
      </c>
      <c r="D20" s="66" t="s">
        <v>47</v>
      </c>
      <c r="E20" s="60">
        <f t="shared" si="4"/>
        <v>4815</v>
      </c>
      <c r="F20" s="62">
        <v>0.0</v>
      </c>
      <c r="G20" s="62">
        <v>0.0</v>
      </c>
      <c r="H20" s="62">
        <v>0.0</v>
      </c>
      <c r="I20" s="62">
        <v>0.0</v>
      </c>
      <c r="J20" s="62">
        <v>250.0</v>
      </c>
      <c r="K20" s="62">
        <v>665.0</v>
      </c>
      <c r="L20" s="62">
        <v>0.0</v>
      </c>
      <c r="M20" s="62">
        <v>1950.0</v>
      </c>
      <c r="N20" s="62">
        <v>0.0</v>
      </c>
      <c r="O20" s="62">
        <v>0.0</v>
      </c>
      <c r="P20" s="62">
        <v>1950.0</v>
      </c>
      <c r="Q20" s="64">
        <v>0.0</v>
      </c>
      <c r="R20" s="4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ht="13.5" customHeight="1">
      <c r="A21" s="1"/>
      <c r="B21" s="1"/>
      <c r="C21" s="56">
        <v>6152.0</v>
      </c>
      <c r="D21" s="66" t="s">
        <v>48</v>
      </c>
      <c r="E21" s="60">
        <f t="shared" si="4"/>
        <v>972.11</v>
      </c>
      <c r="F21" s="62">
        <v>0.0</v>
      </c>
      <c r="G21" s="62">
        <v>0.0</v>
      </c>
      <c r="H21" s="62">
        <v>0.0</v>
      </c>
      <c r="I21" s="62">
        <v>0.0</v>
      </c>
      <c r="J21" s="62">
        <v>0.0</v>
      </c>
      <c r="K21" s="62">
        <v>57.75</v>
      </c>
      <c r="L21" s="62">
        <v>572.06</v>
      </c>
      <c r="M21" s="62">
        <v>58.2</v>
      </c>
      <c r="N21" s="62">
        <v>144.64</v>
      </c>
      <c r="O21" s="62">
        <v>94.13</v>
      </c>
      <c r="P21" s="62">
        <v>26.07</v>
      </c>
      <c r="Q21" s="64">
        <v>19.26</v>
      </c>
      <c r="R21" s="4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ht="13.5" customHeight="1">
      <c r="A22" s="1"/>
      <c r="B22" s="1"/>
      <c r="C22" s="56">
        <v>616.0</v>
      </c>
      <c r="D22" s="66" t="s">
        <v>49</v>
      </c>
      <c r="E22" s="60">
        <f t="shared" si="4"/>
        <v>173.08</v>
      </c>
      <c r="F22" s="62">
        <v>0.0</v>
      </c>
      <c r="G22" s="62">
        <v>0.0</v>
      </c>
      <c r="H22" s="62">
        <v>0.0</v>
      </c>
      <c r="I22" s="62">
        <v>0.0</v>
      </c>
      <c r="J22" s="62">
        <v>0.0</v>
      </c>
      <c r="K22" s="62">
        <v>0.0</v>
      </c>
      <c r="L22" s="62">
        <v>173.08</v>
      </c>
      <c r="M22" s="62">
        <v>0.0</v>
      </c>
      <c r="N22" s="62">
        <v>0.0</v>
      </c>
      <c r="O22" s="62">
        <v>0.0</v>
      </c>
      <c r="P22" s="62">
        <v>0.0</v>
      </c>
      <c r="Q22" s="64">
        <v>0.0</v>
      </c>
      <c r="R22" s="4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ht="13.5" customHeight="1">
      <c r="A23" s="1"/>
      <c r="B23" s="1"/>
      <c r="C23" s="56">
        <v>6227.0</v>
      </c>
      <c r="D23" s="66" t="s">
        <v>51</v>
      </c>
      <c r="E23" s="60">
        <f t="shared" si="4"/>
        <v>0</v>
      </c>
      <c r="F23" s="62">
        <v>0.0</v>
      </c>
      <c r="G23" s="62">
        <v>0.0</v>
      </c>
      <c r="H23" s="62">
        <v>0.0</v>
      </c>
      <c r="I23" s="62">
        <v>0.0</v>
      </c>
      <c r="J23" s="62">
        <v>0.0</v>
      </c>
      <c r="K23" s="62">
        <v>0.0</v>
      </c>
      <c r="L23" s="62">
        <v>0.0</v>
      </c>
      <c r="M23" s="62">
        <v>0.0</v>
      </c>
      <c r="N23" s="62">
        <v>0.0</v>
      </c>
      <c r="O23" s="62">
        <v>0.0</v>
      </c>
      <c r="P23" s="62">
        <v>0.0</v>
      </c>
      <c r="Q23" s="64">
        <v>0.0</v>
      </c>
      <c r="R23" s="4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ht="13.5" customHeight="1">
      <c r="A24" s="1"/>
      <c r="B24" s="1"/>
      <c r="C24" s="56">
        <v>6251.0</v>
      </c>
      <c r="D24" s="66" t="s">
        <v>52</v>
      </c>
      <c r="E24" s="60">
        <f t="shared" si="4"/>
        <v>576.19</v>
      </c>
      <c r="F24" s="62">
        <v>23.4</v>
      </c>
      <c r="G24" s="62">
        <v>40.0</v>
      </c>
      <c r="H24" s="62">
        <v>40.0</v>
      </c>
      <c r="I24" s="62">
        <v>62.0</v>
      </c>
      <c r="J24" s="62">
        <v>50.0</v>
      </c>
      <c r="K24" s="62">
        <v>60.0</v>
      </c>
      <c r="L24" s="62">
        <v>0.0</v>
      </c>
      <c r="M24" s="62">
        <v>51.0</v>
      </c>
      <c r="N24" s="62">
        <v>112.01</v>
      </c>
      <c r="O24" s="62">
        <v>60.0</v>
      </c>
      <c r="P24" s="62">
        <v>47.78</v>
      </c>
      <c r="Q24" s="64">
        <v>30.0</v>
      </c>
      <c r="R24" s="4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ht="13.5" customHeight="1">
      <c r="A25" s="1"/>
      <c r="B25" s="1"/>
      <c r="C25" s="56">
        <v>626.0</v>
      </c>
      <c r="D25" s="66" t="s">
        <v>53</v>
      </c>
      <c r="E25" s="60">
        <f t="shared" si="4"/>
        <v>230.02</v>
      </c>
      <c r="F25" s="62">
        <v>0.0</v>
      </c>
      <c r="G25" s="62">
        <v>0.0</v>
      </c>
      <c r="H25" s="62">
        <v>0.0</v>
      </c>
      <c r="I25" s="62">
        <v>26.8</v>
      </c>
      <c r="J25" s="62">
        <v>0.0</v>
      </c>
      <c r="K25" s="62">
        <v>0.0</v>
      </c>
      <c r="L25" s="62">
        <v>78.15</v>
      </c>
      <c r="M25" s="62">
        <v>17.99</v>
      </c>
      <c r="N25" s="62">
        <v>17.99</v>
      </c>
      <c r="O25" s="62">
        <v>11.79</v>
      </c>
      <c r="P25" s="62">
        <v>59.31</v>
      </c>
      <c r="Q25" s="64">
        <v>17.99</v>
      </c>
      <c r="R25" s="4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ht="13.5" customHeight="1">
      <c r="A26" s="1"/>
      <c r="B26" s="1"/>
      <c r="C26" s="56">
        <v>627.0</v>
      </c>
      <c r="D26" s="66" t="s">
        <v>50</v>
      </c>
      <c r="E26" s="60">
        <f t="shared" si="4"/>
        <v>204.15</v>
      </c>
      <c r="F26" s="71">
        <v>17.77</v>
      </c>
      <c r="G26" s="71">
        <v>7.3</v>
      </c>
      <c r="H26" s="71">
        <v>7.3</v>
      </c>
      <c r="I26" s="71">
        <v>19.56</v>
      </c>
      <c r="J26" s="71">
        <v>13.06</v>
      </c>
      <c r="K26" s="71">
        <v>25.65</v>
      </c>
      <c r="L26" s="71">
        <v>7.3</v>
      </c>
      <c r="M26" s="71">
        <v>7.3</v>
      </c>
      <c r="N26" s="62">
        <v>24.19</v>
      </c>
      <c r="O26" s="62">
        <v>7.3</v>
      </c>
      <c r="P26" s="62">
        <v>7.3</v>
      </c>
      <c r="Q26" s="64">
        <v>60.12</v>
      </c>
      <c r="R26" s="4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ht="13.5" customHeight="1">
      <c r="A27" s="1"/>
      <c r="B27" s="1"/>
      <c r="C27" s="56">
        <v>6411.0</v>
      </c>
      <c r="D27" s="66" t="s">
        <v>54</v>
      </c>
      <c r="E27" s="60">
        <f t="shared" si="4"/>
        <v>3370.26</v>
      </c>
      <c r="F27" s="62">
        <v>0.0</v>
      </c>
      <c r="G27" s="62">
        <v>0.0</v>
      </c>
      <c r="H27" s="62">
        <v>0.0</v>
      </c>
      <c r="I27" s="62">
        <v>0.0</v>
      </c>
      <c r="J27" s="62">
        <v>0.0</v>
      </c>
      <c r="K27" s="62">
        <v>0.0</v>
      </c>
      <c r="L27" s="62">
        <v>0.0</v>
      </c>
      <c r="M27" s="62">
        <v>0.0</v>
      </c>
      <c r="N27" s="62">
        <v>0.0</v>
      </c>
      <c r="O27" s="62">
        <v>1123.42</v>
      </c>
      <c r="P27" s="62">
        <v>1123.42</v>
      </c>
      <c r="Q27" s="64">
        <v>1123.42</v>
      </c>
      <c r="R27" s="4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ht="13.5" customHeight="1">
      <c r="A28" s="1"/>
      <c r="B28" s="1"/>
      <c r="C28" s="56">
        <v>6451.0</v>
      </c>
      <c r="D28" s="66" t="s">
        <v>55</v>
      </c>
      <c r="E28" s="60">
        <f t="shared" si="4"/>
        <v>359</v>
      </c>
      <c r="F28" s="62"/>
      <c r="G28" s="62"/>
      <c r="H28" s="62"/>
      <c r="I28" s="62"/>
      <c r="J28" s="62"/>
      <c r="K28" s="62"/>
      <c r="L28" s="62"/>
      <c r="M28" s="62"/>
      <c r="N28" s="62">
        <v>0.0</v>
      </c>
      <c r="O28" s="62">
        <v>0.0</v>
      </c>
      <c r="P28" s="62">
        <v>359.0</v>
      </c>
      <c r="Q28" s="64">
        <v>0.0</v>
      </c>
      <c r="R28" s="4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ht="16.5" customHeight="1">
      <c r="A29" s="1"/>
      <c r="B29" s="1"/>
      <c r="C29" s="56">
        <v>651.0</v>
      </c>
      <c r="D29" s="66" t="s">
        <v>56</v>
      </c>
      <c r="E29" s="60">
        <f t="shared" si="4"/>
        <v>113.33</v>
      </c>
      <c r="F29" s="62">
        <v>0.0</v>
      </c>
      <c r="G29" s="62">
        <v>13.64</v>
      </c>
      <c r="H29" s="62">
        <v>0.0</v>
      </c>
      <c r="I29" s="62">
        <v>0.0</v>
      </c>
      <c r="J29" s="62">
        <v>29.72</v>
      </c>
      <c r="K29" s="62">
        <v>0.0</v>
      </c>
      <c r="L29" s="62">
        <v>0.0</v>
      </c>
      <c r="M29" s="62">
        <v>0.0</v>
      </c>
      <c r="N29" s="62">
        <v>59.72</v>
      </c>
      <c r="O29" s="62">
        <v>0.0</v>
      </c>
      <c r="P29" s="62">
        <v>0.0</v>
      </c>
      <c r="Q29" s="64">
        <v>10.25</v>
      </c>
      <c r="R29" s="4"/>
      <c r="S29" s="97"/>
      <c r="T29" s="97"/>
      <c r="U29" s="1"/>
      <c r="V29" s="1"/>
      <c r="W29" s="1"/>
      <c r="X29" s="1"/>
      <c r="Y29" s="1"/>
      <c r="Z29" s="1"/>
      <c r="AA29" s="1"/>
      <c r="AB29" s="1"/>
    </row>
    <row r="30" ht="16.5" customHeight="1">
      <c r="A30" s="1"/>
      <c r="B30" s="1"/>
      <c r="C30" s="56">
        <v>6713.0</v>
      </c>
      <c r="D30" s="66" t="s">
        <v>57</v>
      </c>
      <c r="E30" s="60">
        <f t="shared" si="4"/>
        <v>4296.96</v>
      </c>
      <c r="F30" s="62">
        <v>10.0</v>
      </c>
      <c r="G30" s="62">
        <v>0.0</v>
      </c>
      <c r="H30" s="62">
        <v>0.0</v>
      </c>
      <c r="I30" s="62">
        <v>0.0</v>
      </c>
      <c r="J30" s="62">
        <v>0.0</v>
      </c>
      <c r="K30" s="62">
        <v>0.0</v>
      </c>
      <c r="L30" s="62">
        <v>100.0</v>
      </c>
      <c r="M30" s="62">
        <v>70.75</v>
      </c>
      <c r="N30" s="62">
        <v>66.61</v>
      </c>
      <c r="O30" s="62">
        <v>97.68</v>
      </c>
      <c r="P30" s="62">
        <v>0.0</v>
      </c>
      <c r="Q30" s="64">
        <v>3951.92</v>
      </c>
      <c r="R30" s="4"/>
      <c r="S30" s="97"/>
      <c r="T30" s="97"/>
      <c r="U30" s="1"/>
      <c r="V30" s="1"/>
      <c r="W30" s="1"/>
      <c r="X30" s="1"/>
      <c r="Y30" s="1"/>
      <c r="Z30" s="1"/>
      <c r="AA30" s="1"/>
      <c r="AB30" s="1"/>
    </row>
    <row r="31" ht="16.5" customHeight="1">
      <c r="A31" s="1"/>
      <c r="B31" s="1"/>
      <c r="C31" s="41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4"/>
      <c r="S31" s="97"/>
      <c r="T31" s="97"/>
      <c r="U31" s="1"/>
      <c r="V31" s="1"/>
      <c r="W31" s="1"/>
      <c r="X31" s="1"/>
      <c r="Y31" s="1"/>
      <c r="Z31" s="1"/>
      <c r="AA31" s="1"/>
      <c r="AB31" s="1"/>
    </row>
    <row r="32" ht="16.5" customHeight="1">
      <c r="A32" s="1"/>
      <c r="B32" s="1"/>
      <c r="C32" s="41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4"/>
      <c r="S32" s="97"/>
      <c r="T32" s="97"/>
      <c r="U32" s="97"/>
      <c r="V32" s="97"/>
      <c r="W32" s="97"/>
      <c r="X32" s="97"/>
      <c r="Y32" s="97"/>
      <c r="Z32" s="97"/>
      <c r="AA32" s="97"/>
      <c r="AB32" s="97"/>
    </row>
    <row r="33" ht="18.0" customHeight="1">
      <c r="A33" s="1"/>
      <c r="B33" s="1"/>
      <c r="C33" s="104">
        <v>40.0</v>
      </c>
      <c r="D33" s="105" t="s">
        <v>60</v>
      </c>
      <c r="E33" s="60">
        <f>SUM(F33:Q33)</f>
        <v>1544.29</v>
      </c>
      <c r="F33" s="107">
        <v>0.0</v>
      </c>
      <c r="G33" s="107">
        <v>0.0</v>
      </c>
      <c r="H33" s="107">
        <v>0.0</v>
      </c>
      <c r="I33" s="107">
        <v>0.0</v>
      </c>
      <c r="J33" s="107">
        <v>0.0</v>
      </c>
      <c r="K33" s="107">
        <v>0.0</v>
      </c>
      <c r="L33" s="107">
        <v>0.0</v>
      </c>
      <c r="M33" s="107">
        <v>0.0</v>
      </c>
      <c r="N33" s="107">
        <v>0.0</v>
      </c>
      <c r="O33" s="107">
        <v>0.0</v>
      </c>
      <c r="P33" s="107">
        <v>511.74</v>
      </c>
      <c r="Q33" s="108">
        <v>1032.55</v>
      </c>
      <c r="R33" s="109"/>
      <c r="S33" s="97"/>
      <c r="T33" s="97"/>
      <c r="U33" s="97"/>
      <c r="V33" s="97"/>
      <c r="W33" s="97"/>
      <c r="X33" s="97"/>
      <c r="Y33" s="97"/>
      <c r="Z33" s="97"/>
      <c r="AA33" s="97"/>
      <c r="AB33" s="97"/>
    </row>
    <row r="34" ht="18.0" customHeight="1">
      <c r="A34" s="1"/>
      <c r="B34" s="1"/>
      <c r="C34" s="110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2"/>
      <c r="R34" s="113"/>
      <c r="S34" s="97"/>
      <c r="T34" s="97"/>
      <c r="U34" s="97"/>
      <c r="V34" s="97"/>
      <c r="W34" s="97"/>
      <c r="X34" s="97"/>
      <c r="Y34" s="97"/>
      <c r="Z34" s="97"/>
      <c r="AA34" s="97"/>
      <c r="AB34" s="97"/>
    </row>
    <row r="35" ht="18.0" customHeight="1">
      <c r="A35" s="1"/>
      <c r="B35" s="1"/>
      <c r="C35" s="114">
        <v>6037.0</v>
      </c>
      <c r="D35" s="115" t="s">
        <v>67</v>
      </c>
      <c r="E35" s="116"/>
      <c r="F35" s="107">
        <v>396.65</v>
      </c>
      <c r="G35" s="107">
        <v>396.65</v>
      </c>
      <c r="H35" s="107">
        <v>681.44</v>
      </c>
      <c r="I35" s="107">
        <v>429.85</v>
      </c>
      <c r="J35" s="107">
        <v>750.96</v>
      </c>
      <c r="K35" s="107">
        <v>1131.99</v>
      </c>
      <c r="L35" s="107">
        <v>1571.02</v>
      </c>
      <c r="M35" s="107">
        <v>1743.24</v>
      </c>
      <c r="N35" s="107">
        <v>1900.0</v>
      </c>
      <c r="O35" s="107">
        <v>2653.0</v>
      </c>
      <c r="P35" s="107">
        <v>1524.47</v>
      </c>
      <c r="Q35" s="108">
        <v>3039.28</v>
      </c>
      <c r="R35" s="117"/>
      <c r="S35" s="97"/>
      <c r="T35" s="97"/>
      <c r="U35" s="97"/>
      <c r="V35" s="97"/>
      <c r="W35" s="97"/>
      <c r="X35" s="97"/>
      <c r="Y35" s="97"/>
      <c r="Z35" s="97"/>
      <c r="AA35" s="97"/>
      <c r="AB35" s="97"/>
    </row>
    <row r="36" ht="18.0" customHeight="1">
      <c r="A36" s="1"/>
      <c r="B36" s="1"/>
      <c r="C36" s="119"/>
      <c r="D36" s="115" t="s">
        <v>71</v>
      </c>
      <c r="E36" s="60">
        <f t="shared" ref="E36:E37" si="5">SUM(F36:Q36)</f>
        <v>5402.87</v>
      </c>
      <c r="F36" s="107">
        <v>0.0</v>
      </c>
      <c r="G36" s="107">
        <v>0.0</v>
      </c>
      <c r="H36" s="107">
        <v>284.79</v>
      </c>
      <c r="I36" s="107">
        <v>251.59</v>
      </c>
      <c r="J36" s="107">
        <v>321.11</v>
      </c>
      <c r="K36" s="107">
        <v>381.03</v>
      </c>
      <c r="L36" s="107">
        <v>439.03</v>
      </c>
      <c r="M36" s="107">
        <v>172.22</v>
      </c>
      <c r="N36" s="107">
        <v>156.76</v>
      </c>
      <c r="O36" s="107">
        <v>753.0</v>
      </c>
      <c r="P36" s="107">
        <v>1128.53</v>
      </c>
      <c r="Q36" s="108">
        <v>1514.81</v>
      </c>
      <c r="R36" s="109"/>
      <c r="S36" s="97"/>
      <c r="T36" s="97"/>
      <c r="U36" s="97"/>
      <c r="V36" s="97"/>
      <c r="W36" s="97"/>
      <c r="X36" s="97"/>
      <c r="Y36" s="97"/>
      <c r="Z36" s="97"/>
      <c r="AA36" s="97"/>
      <c r="AB36" s="97"/>
    </row>
    <row r="37" ht="18.0" customHeight="1">
      <c r="A37" s="1"/>
      <c r="B37" s="1"/>
      <c r="C37" s="119"/>
      <c r="D37" s="115" t="s">
        <v>73</v>
      </c>
      <c r="E37" s="60">
        <f t="shared" si="5"/>
        <v>10162.73</v>
      </c>
      <c r="F37" s="107">
        <v>556.31</v>
      </c>
      <c r="G37" s="107">
        <v>118.87</v>
      </c>
      <c r="H37" s="107">
        <v>722.35</v>
      </c>
      <c r="I37" s="107">
        <v>454.91</v>
      </c>
      <c r="J37" s="107">
        <v>757.63</v>
      </c>
      <c r="K37" s="107">
        <v>1359.12</v>
      </c>
      <c r="L37" s="107">
        <v>702.56</v>
      </c>
      <c r="M37" s="107">
        <v>862.2</v>
      </c>
      <c r="N37" s="107">
        <v>1051.59</v>
      </c>
      <c r="O37" s="107">
        <v>743.16</v>
      </c>
      <c r="P37" s="107">
        <v>318.5</v>
      </c>
      <c r="Q37" s="108">
        <v>2515.53</v>
      </c>
      <c r="R37" s="109"/>
      <c r="S37" s="97"/>
      <c r="T37" s="97"/>
      <c r="U37" s="97"/>
      <c r="V37" s="97"/>
      <c r="W37" s="97"/>
      <c r="X37" s="97"/>
      <c r="Y37" s="97"/>
      <c r="Z37" s="97"/>
      <c r="AA37" s="97"/>
      <c r="AB37" s="97"/>
    </row>
    <row r="38" ht="18.0" customHeight="1">
      <c r="A38" s="1"/>
      <c r="B38" s="1"/>
      <c r="C38" s="122"/>
      <c r="D38" s="115" t="s">
        <v>74</v>
      </c>
      <c r="E38" s="123">
        <f>E37/(E5+E36)</f>
        <v>0.1642221219</v>
      </c>
      <c r="F38" s="124">
        <v>0.21</v>
      </c>
      <c r="G38" s="124">
        <v>-0.05</v>
      </c>
      <c r="H38" s="124">
        <v>0.21</v>
      </c>
      <c r="I38" s="124">
        <v>-0.15</v>
      </c>
      <c r="J38" s="124">
        <v>0.19</v>
      </c>
      <c r="K38" s="124">
        <v>0.28</v>
      </c>
      <c r="L38" s="124">
        <v>0.27</v>
      </c>
      <c r="M38" s="124">
        <v>0.28</v>
      </c>
      <c r="N38" s="124">
        <v>0.18</v>
      </c>
      <c r="O38" s="124">
        <v>0.11</v>
      </c>
      <c r="P38" s="124">
        <v>0.04</v>
      </c>
      <c r="Q38" s="125">
        <v>0.19</v>
      </c>
      <c r="R38" s="117"/>
      <c r="S38" s="97"/>
      <c r="T38" s="97"/>
      <c r="U38" s="97"/>
      <c r="V38" s="97"/>
      <c r="W38" s="97"/>
      <c r="X38" s="97"/>
      <c r="Y38" s="97"/>
      <c r="Z38" s="97"/>
      <c r="AA38" s="97"/>
      <c r="AB38" s="97"/>
    </row>
    <row r="39" ht="18.0" customHeight="1">
      <c r="A39" s="1"/>
      <c r="B39" s="1"/>
      <c r="C39" s="41"/>
      <c r="D39" s="126"/>
      <c r="E39" s="127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4"/>
      <c r="S39" s="97"/>
      <c r="T39" s="97"/>
      <c r="U39" s="97"/>
      <c r="V39" s="97"/>
      <c r="W39" s="97"/>
      <c r="X39" s="97"/>
      <c r="Y39" s="97"/>
      <c r="Z39" s="97"/>
      <c r="AA39" s="97"/>
      <c r="AB39" s="97"/>
    </row>
    <row r="40" ht="13.5" customHeight="1">
      <c r="A40" s="48" t="s">
        <v>29</v>
      </c>
      <c r="B40" s="128">
        <f>+SUM(D40:U40)</f>
        <v>11125.26</v>
      </c>
      <c r="C40" s="41"/>
      <c r="D40" s="129" t="s">
        <v>81</v>
      </c>
      <c r="E40" s="130">
        <f t="shared" ref="E40:Q40" si="6">+SUM(E4-E10)</f>
        <v>9266.95</v>
      </c>
      <c r="F40" s="130">
        <f t="shared" si="6"/>
        <v>742.19</v>
      </c>
      <c r="G40" s="130">
        <f t="shared" si="6"/>
        <v>805.19</v>
      </c>
      <c r="H40" s="130">
        <f t="shared" si="6"/>
        <v>1235.26</v>
      </c>
      <c r="I40" s="130">
        <f t="shared" si="6"/>
        <v>513.32</v>
      </c>
      <c r="J40" s="130">
        <f t="shared" si="6"/>
        <v>463.05</v>
      </c>
      <c r="K40" s="130">
        <f t="shared" si="6"/>
        <v>-19.6</v>
      </c>
      <c r="L40" s="130">
        <f t="shared" si="6"/>
        <v>-462.06</v>
      </c>
      <c r="M40" s="130">
        <f t="shared" si="6"/>
        <v>-1349.32</v>
      </c>
      <c r="N40" s="130">
        <f t="shared" si="6"/>
        <v>4049.67</v>
      </c>
      <c r="O40" s="130">
        <f t="shared" si="6"/>
        <v>2459.32</v>
      </c>
      <c r="P40" s="130">
        <f t="shared" si="6"/>
        <v>2104.36</v>
      </c>
      <c r="Q40" s="132">
        <f t="shared" si="6"/>
        <v>-8683.07</v>
      </c>
      <c r="R40" s="4"/>
      <c r="S40" s="97"/>
      <c r="T40" s="97"/>
      <c r="U40" s="97"/>
      <c r="V40" s="97"/>
      <c r="W40" s="97"/>
      <c r="X40" s="97"/>
      <c r="Y40" s="97"/>
      <c r="Z40" s="97"/>
      <c r="AA40" s="97"/>
      <c r="AB40" s="97"/>
    </row>
    <row r="41" ht="13.5" customHeight="1">
      <c r="A41" s="97"/>
      <c r="B41" s="97"/>
      <c r="C41" s="41"/>
      <c r="D41" s="134" t="s">
        <v>82</v>
      </c>
      <c r="E41" s="130">
        <v>2200.0</v>
      </c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4"/>
      <c r="S41" s="97"/>
      <c r="T41" s="97"/>
      <c r="U41" s="97"/>
      <c r="V41" s="97"/>
      <c r="W41" s="97"/>
      <c r="X41" s="97"/>
      <c r="Y41" s="97"/>
      <c r="Z41" s="97"/>
      <c r="AA41" s="97"/>
      <c r="AB41" s="97"/>
    </row>
    <row r="42" ht="16.5" customHeight="1">
      <c r="A42" s="1"/>
      <c r="B42" s="1"/>
      <c r="C42" s="41"/>
      <c r="D42" s="137" t="s">
        <v>85</v>
      </c>
      <c r="E42" s="138">
        <v>3727.0</v>
      </c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4"/>
      <c r="S42" s="97"/>
      <c r="T42" s="97"/>
      <c r="U42" s="97"/>
      <c r="V42" s="97"/>
      <c r="W42" s="97"/>
      <c r="X42" s="97"/>
      <c r="Y42" s="97"/>
      <c r="Z42" s="97"/>
      <c r="AA42" s="97"/>
      <c r="AB42" s="97"/>
    </row>
    <row r="43" ht="18.0" customHeight="1">
      <c r="A43" s="1"/>
      <c r="B43" s="1"/>
      <c r="C43" s="41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4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ht="18.0" customHeight="1">
      <c r="A44" s="1"/>
      <c r="B44" s="1"/>
      <c r="C44" s="41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4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ht="18.0" customHeight="1">
      <c r="A45" s="1"/>
      <c r="B45" s="1"/>
      <c r="C45" s="41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4"/>
      <c r="S45" s="97"/>
      <c r="T45" s="97"/>
      <c r="U45" s="97"/>
      <c r="V45" s="97"/>
      <c r="W45" s="97"/>
      <c r="X45" s="97"/>
      <c r="Y45" s="97"/>
      <c r="Z45" s="97"/>
      <c r="AA45" s="97"/>
      <c r="AB45" s="97"/>
    </row>
    <row r="46" ht="41.25" customHeight="1">
      <c r="A46" s="4"/>
      <c r="B46" s="4"/>
      <c r="C46" s="41"/>
      <c r="D46" s="24" t="s">
        <v>86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4"/>
      <c r="S46" s="97"/>
      <c r="T46" s="97"/>
      <c r="U46" s="97"/>
      <c r="V46" s="97"/>
      <c r="W46" s="97"/>
      <c r="X46" s="97"/>
      <c r="Y46" s="97"/>
      <c r="Z46" s="97"/>
      <c r="AA46" s="97"/>
      <c r="AB46" s="97"/>
    </row>
    <row r="47">
      <c r="A47" s="97"/>
      <c r="B47" s="97"/>
      <c r="C47" s="41"/>
      <c r="D47" s="139"/>
      <c r="E47" s="140" t="s">
        <v>14</v>
      </c>
      <c r="F47" s="141">
        <v>42736.0</v>
      </c>
      <c r="G47" s="141">
        <v>42767.0</v>
      </c>
      <c r="H47" s="141">
        <v>42795.0</v>
      </c>
      <c r="I47" s="141">
        <v>42826.0</v>
      </c>
      <c r="J47" s="141">
        <v>42856.0</v>
      </c>
      <c r="K47" s="141">
        <v>42887.0</v>
      </c>
      <c r="L47" s="141">
        <v>42917.0</v>
      </c>
      <c r="M47" s="141">
        <v>42948.0</v>
      </c>
      <c r="N47" s="141">
        <v>42979.0</v>
      </c>
      <c r="O47" s="141">
        <v>43009.0</v>
      </c>
      <c r="P47" s="141">
        <v>43040.0</v>
      </c>
      <c r="Q47" s="142">
        <v>43070.0</v>
      </c>
      <c r="R47" s="4"/>
      <c r="S47" s="97"/>
      <c r="T47" s="97"/>
      <c r="U47" s="97"/>
      <c r="V47" s="97"/>
      <c r="W47" s="97"/>
      <c r="X47" s="97"/>
      <c r="Y47" s="97"/>
      <c r="Z47" s="97"/>
      <c r="AA47" s="97"/>
      <c r="AB47" s="97"/>
    </row>
    <row r="48" ht="13.5" customHeight="1">
      <c r="A48" s="97"/>
      <c r="B48" s="97"/>
      <c r="C48" s="41"/>
      <c r="D48" s="48" t="s">
        <v>22</v>
      </c>
      <c r="E48" s="143">
        <f>+SUM(E49:E53)</f>
        <v>268073.13</v>
      </c>
      <c r="F48" s="80">
        <f t="shared" ref="F48:Q48" si="7">SUM(F49:F53)</f>
        <v>36488.09</v>
      </c>
      <c r="G48" s="80">
        <f t="shared" si="7"/>
        <v>17897.34</v>
      </c>
      <c r="H48" s="80">
        <f t="shared" si="7"/>
        <v>24229.58</v>
      </c>
      <c r="I48" s="80">
        <f t="shared" si="7"/>
        <v>35633.08</v>
      </c>
      <c r="J48" s="80">
        <f t="shared" si="7"/>
        <v>19229.58</v>
      </c>
      <c r="K48" s="80">
        <f t="shared" si="7"/>
        <v>19129.48</v>
      </c>
      <c r="L48" s="80">
        <f t="shared" si="7"/>
        <v>11229.58</v>
      </c>
      <c r="M48" s="80">
        <f t="shared" si="7"/>
        <v>11229.58</v>
      </c>
      <c r="N48" s="80">
        <f t="shared" si="7"/>
        <v>19229.58</v>
      </c>
      <c r="O48" s="80">
        <f t="shared" si="7"/>
        <v>20318.08</v>
      </c>
      <c r="P48" s="80">
        <f t="shared" si="7"/>
        <v>19229.58</v>
      </c>
      <c r="Q48" s="80">
        <f t="shared" si="7"/>
        <v>34229.58</v>
      </c>
      <c r="R48" s="4"/>
      <c r="S48" s="97"/>
      <c r="T48" s="97"/>
      <c r="U48" s="97"/>
      <c r="V48" s="97"/>
      <c r="W48" s="97"/>
      <c r="X48" s="97"/>
      <c r="Y48" s="97"/>
      <c r="Z48" s="97"/>
      <c r="AA48" s="97"/>
      <c r="AB48" s="97"/>
    </row>
    <row r="49" ht="13.5" customHeight="1">
      <c r="A49" s="97"/>
      <c r="B49" s="97"/>
      <c r="C49" s="56">
        <v>707.0</v>
      </c>
      <c r="D49" s="58" t="s">
        <v>23</v>
      </c>
      <c r="E49" s="60">
        <f t="shared" ref="E49:E53" si="10">+SUM(F49:W49)</f>
        <v>169467.85</v>
      </c>
      <c r="F49" s="62">
        <v>9467.85</v>
      </c>
      <c r="G49" s="144">
        <f t="shared" ref="G49:K49" si="8">16000</f>
        <v>16000</v>
      </c>
      <c r="H49" s="144">
        <f t="shared" si="8"/>
        <v>16000</v>
      </c>
      <c r="I49" s="144">
        <f t="shared" si="8"/>
        <v>16000</v>
      </c>
      <c r="J49" s="144">
        <f t="shared" si="8"/>
        <v>16000</v>
      </c>
      <c r="K49" s="144">
        <f t="shared" si="8"/>
        <v>16000</v>
      </c>
      <c r="L49" s="144">
        <f>8000</f>
        <v>8000</v>
      </c>
      <c r="M49" s="144">
        <v>8000.0</v>
      </c>
      <c r="N49" s="144">
        <f t="shared" ref="N49:Q49" si="9">16000</f>
        <v>16000</v>
      </c>
      <c r="O49" s="144">
        <f t="shared" si="9"/>
        <v>16000</v>
      </c>
      <c r="P49" s="144">
        <f t="shared" si="9"/>
        <v>16000</v>
      </c>
      <c r="Q49" s="144">
        <f t="shared" si="9"/>
        <v>16000</v>
      </c>
      <c r="R49" s="4"/>
      <c r="S49" s="97"/>
      <c r="T49" s="97"/>
      <c r="U49" s="97"/>
      <c r="V49" s="97"/>
      <c r="W49" s="97"/>
      <c r="X49" s="97"/>
      <c r="Y49" s="97"/>
      <c r="Z49" s="97"/>
      <c r="AA49" s="97"/>
      <c r="AB49" s="97"/>
    </row>
    <row r="50" ht="13.5" customHeight="1">
      <c r="A50" s="97"/>
      <c r="B50" s="97"/>
      <c r="C50" s="56">
        <v>756.0</v>
      </c>
      <c r="D50" s="66" t="s">
        <v>25</v>
      </c>
      <c r="E50" s="60">
        <f t="shared" si="10"/>
        <v>10403</v>
      </c>
      <c r="F50" s="62">
        <v>2510.0</v>
      </c>
      <c r="G50" s="144">
        <f t="shared" ref="G50:H50" si="11">30*16.67</f>
        <v>500.1</v>
      </c>
      <c r="H50" s="144">
        <f t="shared" si="11"/>
        <v>500.1</v>
      </c>
      <c r="I50" s="144">
        <f>30*16.67+(F6+G6+H6)*0.7</f>
        <v>1903.6</v>
      </c>
      <c r="J50" s="144">
        <f>30*16.67</f>
        <v>500.1</v>
      </c>
      <c r="K50" s="144">
        <v>400.0</v>
      </c>
      <c r="L50" s="144">
        <f t="shared" ref="L50:N50" si="12">30*16.67</f>
        <v>500.1</v>
      </c>
      <c r="M50" s="144">
        <f t="shared" si="12"/>
        <v>500.1</v>
      </c>
      <c r="N50" s="144">
        <f t="shared" si="12"/>
        <v>500.1</v>
      </c>
      <c r="O50" s="144">
        <f>30*16.67+(L6+M6+N6)*0.7</f>
        <v>1588.6</v>
      </c>
      <c r="P50" s="144">
        <f t="shared" ref="P50:Q50" si="13">30*16.67</f>
        <v>500.1</v>
      </c>
      <c r="Q50" s="145">
        <f t="shared" si="13"/>
        <v>500.1</v>
      </c>
      <c r="R50" s="4"/>
      <c r="S50" s="97"/>
      <c r="T50" s="97"/>
      <c r="U50" s="97"/>
      <c r="V50" s="97"/>
      <c r="W50" s="97"/>
      <c r="X50" s="97"/>
      <c r="Y50" s="97"/>
      <c r="Z50" s="97"/>
      <c r="AA50" s="97"/>
      <c r="AB50" s="97"/>
    </row>
    <row r="51" ht="13.5" customHeight="1">
      <c r="A51" s="97"/>
      <c r="B51" s="97"/>
      <c r="C51" s="56">
        <v>7561.0</v>
      </c>
      <c r="D51" s="66" t="s">
        <v>26</v>
      </c>
      <c r="E51" s="60">
        <f t="shared" si="10"/>
        <v>23893</v>
      </c>
      <c r="F51" s="62">
        <v>23178.0</v>
      </c>
      <c r="G51" s="146">
        <v>65.0</v>
      </c>
      <c r="H51" s="146">
        <v>65.0</v>
      </c>
      <c r="I51" s="146">
        <v>65.0</v>
      </c>
      <c r="J51" s="146">
        <v>65.0</v>
      </c>
      <c r="K51" s="146">
        <v>65.0</v>
      </c>
      <c r="L51" s="146">
        <v>65.0</v>
      </c>
      <c r="M51" s="146">
        <v>65.0</v>
      </c>
      <c r="N51" s="146">
        <v>65.0</v>
      </c>
      <c r="O51" s="146">
        <v>65.0</v>
      </c>
      <c r="P51" s="146">
        <v>65.0</v>
      </c>
      <c r="Q51" s="147">
        <v>65.0</v>
      </c>
      <c r="R51" s="4"/>
      <c r="S51" s="97"/>
      <c r="T51" s="97"/>
      <c r="U51" s="97"/>
      <c r="V51" s="97"/>
      <c r="W51" s="97"/>
      <c r="X51" s="97"/>
      <c r="Y51" s="97"/>
      <c r="Z51" s="97"/>
      <c r="AA51" s="97"/>
      <c r="AB51" s="97"/>
    </row>
    <row r="52" ht="13.5" customHeight="1">
      <c r="A52" s="97"/>
      <c r="B52" s="97"/>
      <c r="C52" s="56">
        <v>74.0</v>
      </c>
      <c r="D52" s="69" t="s">
        <v>28</v>
      </c>
      <c r="E52" s="70">
        <f t="shared" si="10"/>
        <v>29309.28</v>
      </c>
      <c r="F52" s="301">
        <v>1332.24</v>
      </c>
      <c r="G52" s="302">
        <v>1332.24</v>
      </c>
      <c r="H52" s="302">
        <f t="shared" ref="H52:Q52" si="14">1332.24*2</f>
        <v>2664.48</v>
      </c>
      <c r="I52" s="302">
        <f t="shared" si="14"/>
        <v>2664.48</v>
      </c>
      <c r="J52" s="302">
        <f t="shared" si="14"/>
        <v>2664.48</v>
      </c>
      <c r="K52" s="302">
        <f t="shared" si="14"/>
        <v>2664.48</v>
      </c>
      <c r="L52" s="302">
        <f t="shared" si="14"/>
        <v>2664.48</v>
      </c>
      <c r="M52" s="302">
        <f t="shared" si="14"/>
        <v>2664.48</v>
      </c>
      <c r="N52" s="302">
        <f t="shared" si="14"/>
        <v>2664.48</v>
      </c>
      <c r="O52" s="302">
        <f t="shared" si="14"/>
        <v>2664.48</v>
      </c>
      <c r="P52" s="302">
        <f t="shared" si="14"/>
        <v>2664.48</v>
      </c>
      <c r="Q52" s="303">
        <f t="shared" si="14"/>
        <v>2664.48</v>
      </c>
      <c r="R52" s="4"/>
      <c r="S52" s="97"/>
      <c r="T52" s="97"/>
      <c r="U52" s="97"/>
      <c r="V52" s="97"/>
      <c r="W52" s="97"/>
      <c r="X52" s="97"/>
      <c r="Y52" s="97"/>
      <c r="Z52" s="97"/>
      <c r="AA52" s="97"/>
      <c r="AB52" s="97"/>
    </row>
    <row r="53" ht="13.5" customHeight="1">
      <c r="A53" s="97"/>
      <c r="B53" s="97"/>
      <c r="C53" s="56"/>
      <c r="D53" s="86" t="s">
        <v>32</v>
      </c>
      <c r="E53" s="70">
        <f t="shared" si="10"/>
        <v>35000</v>
      </c>
      <c r="F53" s="62"/>
      <c r="G53" s="146"/>
      <c r="H53" s="146">
        <v>5000.0</v>
      </c>
      <c r="I53" s="146">
        <v>15000.0</v>
      </c>
      <c r="J53" s="146"/>
      <c r="K53" s="146"/>
      <c r="L53" s="146"/>
      <c r="M53" s="146"/>
      <c r="N53" s="146"/>
      <c r="O53" s="146"/>
      <c r="P53" s="146"/>
      <c r="Q53" s="146">
        <v>15000.0</v>
      </c>
      <c r="R53" s="4"/>
      <c r="S53" s="97"/>
      <c r="T53" s="97"/>
      <c r="U53" s="97"/>
      <c r="V53" s="97"/>
      <c r="W53" s="97"/>
      <c r="X53" s="97"/>
      <c r="Y53" s="97"/>
      <c r="Z53" s="97"/>
      <c r="AA53" s="97"/>
      <c r="AB53" s="97"/>
    </row>
    <row r="54" ht="13.5" customHeight="1">
      <c r="A54" s="97"/>
      <c r="B54" s="97"/>
      <c r="C54" s="41"/>
      <c r="D54" s="148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4"/>
      <c r="S54" s="97"/>
      <c r="T54" s="97"/>
      <c r="U54" s="97"/>
      <c r="V54" s="97"/>
      <c r="W54" s="97"/>
      <c r="X54" s="97"/>
      <c r="Y54" s="97"/>
      <c r="Z54" s="97"/>
      <c r="AA54" s="97"/>
      <c r="AB54" s="97"/>
    </row>
    <row r="55" ht="13.5" customHeight="1">
      <c r="A55" s="97"/>
      <c r="B55" s="97"/>
      <c r="C55" s="41"/>
      <c r="D55" s="137" t="s">
        <v>29</v>
      </c>
      <c r="E55" s="88">
        <f>SUM(E56:E76)</f>
        <v>230668.9755</v>
      </c>
      <c r="F55" s="88">
        <f t="shared" ref="F55:Q55" si="15">+SUM(F56:F77)</f>
        <v>18035.59073</v>
      </c>
      <c r="G55" s="88">
        <f t="shared" si="15"/>
        <v>20972.51073</v>
      </c>
      <c r="H55" s="88">
        <f t="shared" si="15"/>
        <v>25548.91073</v>
      </c>
      <c r="I55" s="88">
        <f t="shared" si="15"/>
        <v>27338.91073</v>
      </c>
      <c r="J55" s="88">
        <f t="shared" si="15"/>
        <v>20655.91073</v>
      </c>
      <c r="K55" s="88">
        <f t="shared" si="15"/>
        <v>19288.91073</v>
      </c>
      <c r="L55" s="88">
        <f t="shared" si="15"/>
        <v>14423.91073</v>
      </c>
      <c r="M55" s="88">
        <f t="shared" si="15"/>
        <v>14410.91073</v>
      </c>
      <c r="N55" s="88">
        <f t="shared" si="15"/>
        <v>19008.51846</v>
      </c>
      <c r="O55" s="88">
        <f t="shared" si="15"/>
        <v>21488.91073</v>
      </c>
      <c r="P55" s="88">
        <f t="shared" si="15"/>
        <v>20708.51846</v>
      </c>
      <c r="Q55" s="88">
        <f t="shared" si="15"/>
        <v>20320.91073</v>
      </c>
      <c r="R55" s="4"/>
      <c r="S55" s="97"/>
      <c r="T55" s="97"/>
      <c r="U55" s="97"/>
      <c r="V55" s="97"/>
      <c r="W55" s="97"/>
      <c r="X55" s="97"/>
      <c r="Y55" s="97"/>
      <c r="Z55" s="97"/>
      <c r="AA55" s="97"/>
      <c r="AB55" s="97"/>
    </row>
    <row r="56" ht="13.5" customHeight="1">
      <c r="A56" s="97"/>
      <c r="B56" s="97"/>
      <c r="C56" s="56">
        <v>213.0</v>
      </c>
      <c r="D56" s="86" t="s">
        <v>36</v>
      </c>
      <c r="E56" s="88">
        <f t="shared" ref="E56:E76" si="16">+SUM(F56:W56)</f>
        <v>2163.1</v>
      </c>
      <c r="F56" s="146">
        <v>663.1</v>
      </c>
      <c r="G56" s="146"/>
      <c r="H56" s="146">
        <v>1500.0</v>
      </c>
      <c r="I56" s="146"/>
      <c r="J56" s="146"/>
      <c r="K56" s="146"/>
      <c r="L56" s="146"/>
      <c r="M56" s="146"/>
      <c r="N56" s="146"/>
      <c r="O56" s="146"/>
      <c r="P56" s="146"/>
      <c r="Q56" s="147"/>
      <c r="R56" s="149" t="s">
        <v>96</v>
      </c>
      <c r="S56" s="97"/>
      <c r="T56" s="97"/>
      <c r="U56" s="97"/>
      <c r="V56" s="97"/>
      <c r="W56" s="97"/>
      <c r="X56" s="97"/>
      <c r="Y56" s="97"/>
      <c r="Z56" s="97"/>
      <c r="AA56" s="97"/>
      <c r="AB56" s="97"/>
    </row>
    <row r="57" ht="13.5" customHeight="1">
      <c r="A57" s="97"/>
      <c r="B57" s="97"/>
      <c r="C57" s="56">
        <v>2184.0</v>
      </c>
      <c r="D57" s="86" t="s">
        <v>37</v>
      </c>
      <c r="E57" s="88">
        <f t="shared" si="16"/>
        <v>7000</v>
      </c>
      <c r="F57" s="146">
        <v>0.0</v>
      </c>
      <c r="G57" s="146"/>
      <c r="H57" s="146">
        <v>7000.0</v>
      </c>
      <c r="I57" s="146"/>
      <c r="J57" s="146"/>
      <c r="K57" s="146"/>
      <c r="L57" s="146"/>
      <c r="M57" s="146"/>
      <c r="N57" s="146"/>
      <c r="O57" s="146"/>
      <c r="P57" s="146"/>
      <c r="Q57" s="147"/>
      <c r="R57" s="149" t="s">
        <v>97</v>
      </c>
      <c r="S57" s="97"/>
      <c r="T57" s="97"/>
      <c r="U57" s="97"/>
      <c r="V57" s="97"/>
      <c r="W57" s="97"/>
      <c r="X57" s="97"/>
      <c r="Y57" s="97"/>
      <c r="Z57" s="97"/>
      <c r="AA57" s="97"/>
      <c r="AB57" s="97"/>
    </row>
    <row r="58" ht="13.5" customHeight="1">
      <c r="A58" s="97"/>
      <c r="B58" s="97"/>
      <c r="C58" s="56">
        <v>2755.0</v>
      </c>
      <c r="D58" s="86" t="s">
        <v>38</v>
      </c>
      <c r="E58" s="88">
        <f t="shared" si="16"/>
        <v>0</v>
      </c>
      <c r="F58" s="62">
        <v>0.0</v>
      </c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7"/>
      <c r="R58" s="4"/>
      <c r="S58" s="97"/>
      <c r="T58" s="97"/>
      <c r="U58" s="97"/>
      <c r="V58" s="97"/>
      <c r="W58" s="97"/>
      <c r="X58" s="97"/>
      <c r="Y58" s="97"/>
      <c r="Z58" s="97"/>
      <c r="AA58" s="97"/>
      <c r="AB58" s="97"/>
    </row>
    <row r="59" ht="13.5" customHeight="1">
      <c r="A59" s="97"/>
      <c r="B59" s="97"/>
      <c r="C59" s="56">
        <v>4456.0</v>
      </c>
      <c r="D59" s="86" t="s">
        <v>165</v>
      </c>
      <c r="E59" s="88">
        <f t="shared" si="16"/>
        <v>81.21545455</v>
      </c>
      <c r="F59" s="62"/>
      <c r="G59" s="146"/>
      <c r="H59" s="146"/>
      <c r="I59" s="146"/>
      <c r="J59" s="146"/>
      <c r="K59" s="146">
        <f t="shared" ref="K59:Q59" si="17">IF((K49*0.1)-(K65-K65/1.1)-(SUM(K61,K64,K62,K67,K68,K69,K70,K71,K72)-(SUM(K61,K64,K62,K67,K68,K69,K70,K71,K72)/1.2))&lt;0, 0, (K49*0.1)-(K65-K65/1.1)-(SUM(K61,K64,K62,K67,K68,K69,K70,K71,K72)-(SUM(K61,K64,K62,K67,K68,K69,K70,K71,K72)/1.2)))</f>
        <v>0</v>
      </c>
      <c r="L59" s="146">
        <f t="shared" si="17"/>
        <v>0</v>
      </c>
      <c r="M59" s="146">
        <f t="shared" si="17"/>
        <v>0</v>
      </c>
      <c r="N59" s="146">
        <f t="shared" si="17"/>
        <v>40.60772727</v>
      </c>
      <c r="O59" s="146">
        <f t="shared" si="17"/>
        <v>0</v>
      </c>
      <c r="P59" s="146">
        <f t="shared" si="17"/>
        <v>40.60772727</v>
      </c>
      <c r="Q59" s="146">
        <f t="shared" si="17"/>
        <v>0</v>
      </c>
      <c r="R59" s="149"/>
      <c r="S59" s="97"/>
      <c r="T59" s="97"/>
      <c r="U59" s="97"/>
      <c r="V59" s="97"/>
      <c r="W59" s="97"/>
      <c r="X59" s="97"/>
      <c r="Y59" s="97"/>
      <c r="Z59" s="97"/>
      <c r="AA59" s="97"/>
      <c r="AB59" s="97"/>
    </row>
    <row r="60" ht="13.5" customHeight="1">
      <c r="A60" s="97"/>
      <c r="B60" s="97"/>
      <c r="C60" s="56">
        <v>447.0</v>
      </c>
      <c r="D60" s="86" t="s">
        <v>39</v>
      </c>
      <c r="E60" s="88">
        <f t="shared" si="16"/>
        <v>5285</v>
      </c>
      <c r="F60" s="62">
        <v>0.0</v>
      </c>
      <c r="G60" s="146"/>
      <c r="H60" s="146"/>
      <c r="I60" s="146">
        <f>5285</f>
        <v>5285</v>
      </c>
      <c r="J60" s="146"/>
      <c r="K60" s="146"/>
      <c r="L60" s="146"/>
      <c r="M60" s="146"/>
      <c r="N60" s="146"/>
      <c r="O60" s="146"/>
      <c r="P60" s="146"/>
      <c r="Q60" s="147"/>
      <c r="R60" s="149" t="s">
        <v>98</v>
      </c>
      <c r="S60" s="97"/>
      <c r="T60" s="97"/>
      <c r="U60" s="97"/>
      <c r="V60" s="97"/>
      <c r="W60" s="97"/>
      <c r="X60" s="97"/>
      <c r="Y60" s="97"/>
      <c r="Z60" s="97"/>
      <c r="AA60" s="97"/>
      <c r="AB60" s="97"/>
    </row>
    <row r="61" ht="13.5" customHeight="1">
      <c r="A61" s="97"/>
      <c r="B61" s="97"/>
      <c r="C61" s="56">
        <v>604.0</v>
      </c>
      <c r="D61" s="66" t="s">
        <v>99</v>
      </c>
      <c r="E61" s="60">
        <f t="shared" si="16"/>
        <v>20505.32</v>
      </c>
      <c r="F61" s="62">
        <v>1555.32</v>
      </c>
      <c r="G61" s="144">
        <f>1300+50</f>
        <v>1350</v>
      </c>
      <c r="H61" s="144">
        <f>50</f>
        <v>50</v>
      </c>
      <c r="I61" s="144">
        <f t="shared" ref="I61:Q61" si="18">1950</f>
        <v>1950</v>
      </c>
      <c r="J61" s="144">
        <f t="shared" si="18"/>
        <v>1950</v>
      </c>
      <c r="K61" s="144">
        <f t="shared" si="18"/>
        <v>1950</v>
      </c>
      <c r="L61" s="144">
        <f t="shared" si="18"/>
        <v>1950</v>
      </c>
      <c r="M61" s="144">
        <f t="shared" si="18"/>
        <v>1950</v>
      </c>
      <c r="N61" s="144">
        <f t="shared" si="18"/>
        <v>1950</v>
      </c>
      <c r="O61" s="144">
        <f t="shared" si="18"/>
        <v>1950</v>
      </c>
      <c r="P61" s="144">
        <f t="shared" si="18"/>
        <v>1950</v>
      </c>
      <c r="Q61" s="144">
        <f t="shared" si="18"/>
        <v>1950</v>
      </c>
      <c r="R61" s="149" t="s">
        <v>207</v>
      </c>
      <c r="S61" s="97"/>
      <c r="T61" s="97"/>
      <c r="U61" s="97"/>
      <c r="V61" s="97"/>
      <c r="W61" s="97"/>
      <c r="X61" s="97"/>
      <c r="Y61" s="97"/>
      <c r="Z61" s="97"/>
      <c r="AA61" s="97"/>
      <c r="AB61" s="97"/>
    </row>
    <row r="62" ht="13.5" customHeight="1">
      <c r="A62" s="97"/>
      <c r="B62" s="97"/>
      <c r="C62" s="56">
        <v>60612.0</v>
      </c>
      <c r="D62" s="66" t="s">
        <v>42</v>
      </c>
      <c r="E62" s="60">
        <f t="shared" si="16"/>
        <v>1998</v>
      </c>
      <c r="F62" s="62">
        <v>0.0</v>
      </c>
      <c r="G62" s="144">
        <v>333.0</v>
      </c>
      <c r="H62" s="144"/>
      <c r="I62" s="144">
        <v>333.0</v>
      </c>
      <c r="J62" s="144"/>
      <c r="K62" s="144">
        <v>333.0</v>
      </c>
      <c r="L62" s="144"/>
      <c r="M62" s="144">
        <v>333.0</v>
      </c>
      <c r="N62" s="144"/>
      <c r="O62" s="144">
        <v>333.0</v>
      </c>
      <c r="P62" s="144"/>
      <c r="Q62" s="145">
        <v>333.0</v>
      </c>
      <c r="R62" s="155" t="s">
        <v>100</v>
      </c>
      <c r="S62" s="97"/>
      <c r="T62" s="97"/>
      <c r="U62" s="97"/>
      <c r="V62" s="97"/>
      <c r="W62" s="97"/>
      <c r="X62" s="97"/>
      <c r="Y62" s="97"/>
      <c r="Z62" s="97"/>
      <c r="AA62" s="97"/>
      <c r="AB62" s="97"/>
    </row>
    <row r="63" ht="13.5" customHeight="1">
      <c r="A63" s="97"/>
      <c r="B63" s="97"/>
      <c r="C63" s="56">
        <v>60611.0</v>
      </c>
      <c r="D63" s="66" t="s">
        <v>44</v>
      </c>
      <c r="E63" s="60">
        <f t="shared" si="16"/>
        <v>260</v>
      </c>
      <c r="F63" s="62">
        <v>0.0</v>
      </c>
      <c r="G63" s="144"/>
      <c r="H63" s="144"/>
      <c r="I63" s="144">
        <v>130.0</v>
      </c>
      <c r="J63" s="144"/>
      <c r="K63" s="144"/>
      <c r="L63" s="144"/>
      <c r="M63" s="144"/>
      <c r="N63" s="144"/>
      <c r="O63" s="144">
        <v>130.0</v>
      </c>
      <c r="P63" s="144"/>
      <c r="Q63" s="145"/>
      <c r="R63" s="4"/>
      <c r="S63" s="97"/>
      <c r="T63" s="97"/>
      <c r="U63" s="97"/>
      <c r="V63" s="97"/>
      <c r="W63" s="97"/>
      <c r="X63" s="97"/>
      <c r="Y63" s="97"/>
      <c r="Z63" s="97"/>
      <c r="AA63" s="97"/>
      <c r="AB63" s="97"/>
    </row>
    <row r="64" ht="13.5" customHeight="1">
      <c r="A64" s="97"/>
      <c r="B64" s="97"/>
      <c r="C64" s="56">
        <v>6064.0</v>
      </c>
      <c r="D64" s="66" t="s">
        <v>45</v>
      </c>
      <c r="E64" s="60">
        <f t="shared" si="16"/>
        <v>1090.26</v>
      </c>
      <c r="F64" s="62">
        <v>190.26</v>
      </c>
      <c r="G64" s="144">
        <f>350+50</f>
        <v>400</v>
      </c>
      <c r="H64" s="144">
        <v>50.0</v>
      </c>
      <c r="I64" s="144">
        <v>50.0</v>
      </c>
      <c r="J64" s="144">
        <v>50.0</v>
      </c>
      <c r="K64" s="144">
        <v>50.0</v>
      </c>
      <c r="L64" s="144">
        <v>50.0</v>
      </c>
      <c r="M64" s="144">
        <v>50.0</v>
      </c>
      <c r="N64" s="144">
        <v>50.0</v>
      </c>
      <c r="O64" s="144">
        <v>50.0</v>
      </c>
      <c r="P64" s="144">
        <v>50.0</v>
      </c>
      <c r="Q64" s="145">
        <v>50.0</v>
      </c>
      <c r="R64" s="4"/>
      <c r="S64" s="97"/>
      <c r="T64" s="97"/>
      <c r="U64" s="97"/>
      <c r="V64" s="97"/>
      <c r="W64" s="97"/>
      <c r="X64" s="97"/>
      <c r="Y64" s="97"/>
      <c r="Z64" s="97"/>
      <c r="AA64" s="97"/>
      <c r="AB64" s="97"/>
    </row>
    <row r="65" ht="13.5" customHeight="1">
      <c r="A65" s="97"/>
      <c r="B65" s="97"/>
      <c r="C65" s="56">
        <v>607.0</v>
      </c>
      <c r="D65" s="58" t="s">
        <v>46</v>
      </c>
      <c r="E65" s="60">
        <f t="shared" si="16"/>
        <v>143070.81</v>
      </c>
      <c r="F65" s="156">
        <v>11870.81</v>
      </c>
      <c r="G65" s="144">
        <f t="shared" ref="G65:Q65" si="19">+G49*0.82</f>
        <v>13120</v>
      </c>
      <c r="H65" s="144">
        <f t="shared" si="19"/>
        <v>13120</v>
      </c>
      <c r="I65" s="144">
        <f t="shared" si="19"/>
        <v>13120</v>
      </c>
      <c r="J65" s="144">
        <f t="shared" si="19"/>
        <v>13120</v>
      </c>
      <c r="K65" s="144">
        <f t="shared" si="19"/>
        <v>13120</v>
      </c>
      <c r="L65" s="144">
        <f t="shared" si="19"/>
        <v>6560</v>
      </c>
      <c r="M65" s="144">
        <f t="shared" si="19"/>
        <v>6560</v>
      </c>
      <c r="N65" s="144">
        <f t="shared" si="19"/>
        <v>13120</v>
      </c>
      <c r="O65" s="144">
        <f t="shared" si="19"/>
        <v>13120</v>
      </c>
      <c r="P65" s="144">
        <f t="shared" si="19"/>
        <v>13120</v>
      </c>
      <c r="Q65" s="145">
        <f t="shared" si="19"/>
        <v>13120</v>
      </c>
      <c r="R65" s="155" t="s">
        <v>175</v>
      </c>
      <c r="S65" s="97"/>
      <c r="T65" s="97"/>
      <c r="U65" s="97"/>
      <c r="V65" s="97"/>
      <c r="W65" s="97"/>
      <c r="X65" s="97"/>
      <c r="Y65" s="97"/>
      <c r="Z65" s="97"/>
      <c r="AA65" s="97"/>
      <c r="AB65" s="97"/>
    </row>
    <row r="66" ht="13.5" customHeight="1">
      <c r="A66" s="97"/>
      <c r="B66" s="97"/>
      <c r="C66" s="56">
        <v>6132.0</v>
      </c>
      <c r="D66" s="66" t="s">
        <v>105</v>
      </c>
      <c r="E66" s="60">
        <f t="shared" si="16"/>
        <v>9910</v>
      </c>
      <c r="F66" s="62">
        <v>0.0</v>
      </c>
      <c r="G66" s="144">
        <v>1950.0</v>
      </c>
      <c r="H66" s="144">
        <f>30+100</f>
        <v>130</v>
      </c>
      <c r="I66" s="144">
        <v>30.0</v>
      </c>
      <c r="J66" s="144">
        <f>1950+30</f>
        <v>1980</v>
      </c>
      <c r="K66" s="144">
        <f>30+250</f>
        <v>280</v>
      </c>
      <c r="L66" s="144">
        <v>0.0</v>
      </c>
      <c r="M66" s="144">
        <v>1950.0</v>
      </c>
      <c r="N66" s="144">
        <f>30+250</f>
        <v>280</v>
      </c>
      <c r="O66" s="144">
        <v>30.0</v>
      </c>
      <c r="P66" s="144">
        <f>30+1950</f>
        <v>1980</v>
      </c>
      <c r="Q66" s="145">
        <v>1300.0</v>
      </c>
      <c r="R66" s="157" t="s">
        <v>107</v>
      </c>
      <c r="S66" s="97"/>
      <c r="T66" s="97"/>
      <c r="U66" s="97"/>
      <c r="V66" s="97"/>
      <c r="W66" s="97"/>
      <c r="X66" s="97"/>
      <c r="Y66" s="97"/>
      <c r="Z66" s="97"/>
      <c r="AA66" s="97"/>
      <c r="AB66" s="97"/>
    </row>
    <row r="67" ht="13.5" customHeight="1">
      <c r="A67" s="97"/>
      <c r="B67" s="97"/>
      <c r="C67" s="56">
        <v>6152.0</v>
      </c>
      <c r="D67" s="66" t="s">
        <v>48</v>
      </c>
      <c r="E67" s="60">
        <f t="shared" si="16"/>
        <v>1685.27</v>
      </c>
      <c r="F67" s="62">
        <v>35.27</v>
      </c>
      <c r="G67" s="144">
        <v>850.0</v>
      </c>
      <c r="H67" s="144">
        <v>80.0</v>
      </c>
      <c r="I67" s="144">
        <v>80.0</v>
      </c>
      <c r="J67" s="144">
        <v>80.0</v>
      </c>
      <c r="K67" s="144">
        <v>80.0</v>
      </c>
      <c r="L67" s="144">
        <v>80.0</v>
      </c>
      <c r="M67" s="144">
        <v>80.0</v>
      </c>
      <c r="N67" s="144">
        <v>80.0</v>
      </c>
      <c r="O67" s="144">
        <v>80.0</v>
      </c>
      <c r="P67" s="144">
        <v>80.0</v>
      </c>
      <c r="Q67" s="145">
        <v>80.0</v>
      </c>
      <c r="R67" s="158"/>
      <c r="S67" s="97"/>
      <c r="T67" s="97"/>
      <c r="U67" s="97"/>
      <c r="V67" s="97"/>
      <c r="W67" s="97"/>
      <c r="X67" s="97"/>
      <c r="Y67" s="97"/>
      <c r="Z67" s="97"/>
      <c r="AA67" s="97"/>
      <c r="AB67" s="97"/>
    </row>
    <row r="68" ht="13.5" customHeight="1">
      <c r="A68" s="97"/>
      <c r="B68" s="97"/>
      <c r="C68" s="56">
        <v>616.0</v>
      </c>
      <c r="D68" s="66" t="s">
        <v>49</v>
      </c>
      <c r="E68" s="60">
        <f t="shared" si="16"/>
        <v>299.26</v>
      </c>
      <c r="F68" s="62">
        <v>299.26</v>
      </c>
      <c r="G68" s="144">
        <v>0.0</v>
      </c>
      <c r="H68" s="144">
        <v>0.0</v>
      </c>
      <c r="I68" s="144">
        <v>0.0</v>
      </c>
      <c r="J68" s="144">
        <v>0.0</v>
      </c>
      <c r="K68" s="144">
        <v>0.0</v>
      </c>
      <c r="L68" s="160">
        <v>0.0</v>
      </c>
      <c r="M68" s="144">
        <v>0.0</v>
      </c>
      <c r="N68" s="144">
        <v>0.0</v>
      </c>
      <c r="O68" s="144">
        <v>0.0</v>
      </c>
      <c r="P68" s="144">
        <v>0.0</v>
      </c>
      <c r="Q68" s="145">
        <v>0.0</v>
      </c>
      <c r="R68" s="161"/>
      <c r="S68" s="97"/>
      <c r="T68" s="97"/>
      <c r="U68" s="97"/>
      <c r="V68" s="97"/>
      <c r="W68" s="97"/>
      <c r="X68" s="97"/>
      <c r="Y68" s="97"/>
      <c r="Z68" s="97"/>
      <c r="AA68" s="97"/>
      <c r="AB68" s="97"/>
    </row>
    <row r="69" ht="13.5" customHeight="1">
      <c r="A69" s="97"/>
      <c r="B69" s="97"/>
      <c r="C69" s="56">
        <v>6227.0</v>
      </c>
      <c r="D69" s="66" t="s">
        <v>51</v>
      </c>
      <c r="E69" s="60">
        <f t="shared" si="16"/>
        <v>0</v>
      </c>
      <c r="F69" s="62">
        <v>0.0</v>
      </c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5"/>
      <c r="R69" s="158"/>
      <c r="S69" s="97"/>
      <c r="T69" s="97"/>
      <c r="U69" s="97"/>
      <c r="V69" s="97"/>
      <c r="W69" s="97"/>
      <c r="X69" s="97"/>
      <c r="Y69" s="97"/>
      <c r="Z69" s="97"/>
      <c r="AA69" s="97"/>
      <c r="AB69" s="97"/>
    </row>
    <row r="70" ht="13.5" customHeight="1">
      <c r="A70" s="97"/>
      <c r="B70" s="97"/>
      <c r="C70" s="56">
        <v>6251.0</v>
      </c>
      <c r="D70" s="66" t="s">
        <v>52</v>
      </c>
      <c r="E70" s="60">
        <f t="shared" si="16"/>
        <v>704</v>
      </c>
      <c r="F70" s="62">
        <v>44.0</v>
      </c>
      <c r="G70" s="144">
        <v>60.0</v>
      </c>
      <c r="H70" s="144">
        <v>60.0</v>
      </c>
      <c r="I70" s="144">
        <v>60.0</v>
      </c>
      <c r="J70" s="144">
        <v>60.0</v>
      </c>
      <c r="K70" s="144">
        <v>60.0</v>
      </c>
      <c r="L70" s="144">
        <v>60.0</v>
      </c>
      <c r="M70" s="144">
        <v>60.0</v>
      </c>
      <c r="N70" s="144">
        <v>60.0</v>
      </c>
      <c r="O70" s="144">
        <v>60.0</v>
      </c>
      <c r="P70" s="144">
        <v>60.0</v>
      </c>
      <c r="Q70" s="145">
        <v>60.0</v>
      </c>
      <c r="R70" s="158"/>
      <c r="S70" s="97"/>
      <c r="T70" s="97"/>
      <c r="U70" s="97"/>
      <c r="V70" s="97"/>
      <c r="W70" s="97"/>
      <c r="X70" s="97"/>
      <c r="Y70" s="97"/>
      <c r="Z70" s="97"/>
      <c r="AA70" s="97"/>
      <c r="AB70" s="97"/>
    </row>
    <row r="71" ht="13.5" customHeight="1">
      <c r="A71" s="97"/>
      <c r="B71" s="97"/>
      <c r="C71" s="56">
        <v>626.0</v>
      </c>
      <c r="D71" s="66" t="s">
        <v>53</v>
      </c>
      <c r="E71" s="60">
        <f t="shared" si="16"/>
        <v>387.5</v>
      </c>
      <c r="F71" s="62">
        <v>19.61</v>
      </c>
      <c r="G71" s="144">
        <f t="shared" ref="G71:L71" si="20">17.99+10</f>
        <v>27.99</v>
      </c>
      <c r="H71" s="144">
        <f t="shared" si="20"/>
        <v>27.99</v>
      </c>
      <c r="I71" s="144">
        <f t="shared" si="20"/>
        <v>27.99</v>
      </c>
      <c r="J71" s="144">
        <f t="shared" si="20"/>
        <v>27.99</v>
      </c>
      <c r="K71" s="144">
        <f t="shared" si="20"/>
        <v>27.99</v>
      </c>
      <c r="L71" s="144">
        <f t="shared" si="20"/>
        <v>27.99</v>
      </c>
      <c r="M71" s="144">
        <f t="shared" ref="M71:Q71" si="21">10+29.99</f>
        <v>39.99</v>
      </c>
      <c r="N71" s="144">
        <f t="shared" si="21"/>
        <v>39.99</v>
      </c>
      <c r="O71" s="144">
        <f t="shared" si="21"/>
        <v>39.99</v>
      </c>
      <c r="P71" s="144">
        <f t="shared" si="21"/>
        <v>39.99</v>
      </c>
      <c r="Q71" s="145">
        <f t="shared" si="21"/>
        <v>39.99</v>
      </c>
      <c r="R71" s="157" t="s">
        <v>112</v>
      </c>
      <c r="S71" s="97"/>
      <c r="T71" s="97"/>
      <c r="U71" s="97"/>
      <c r="V71" s="97"/>
      <c r="W71" s="97"/>
      <c r="X71" s="97"/>
      <c r="Y71" s="97"/>
      <c r="Z71" s="97"/>
      <c r="AA71" s="97"/>
      <c r="AB71" s="97"/>
    </row>
    <row r="72" ht="13.5" customHeight="1">
      <c r="A72" s="97"/>
      <c r="B72" s="97"/>
      <c r="C72" s="56">
        <v>627.0</v>
      </c>
      <c r="D72" s="66" t="s">
        <v>50</v>
      </c>
      <c r="E72" s="60">
        <f t="shared" si="16"/>
        <v>227.3</v>
      </c>
      <c r="F72" s="62">
        <v>7.3</v>
      </c>
      <c r="G72" s="144">
        <v>20.0</v>
      </c>
      <c r="H72" s="144">
        <v>20.0</v>
      </c>
      <c r="I72" s="144">
        <v>20.0</v>
      </c>
      <c r="J72" s="144">
        <v>20.0</v>
      </c>
      <c r="K72" s="144">
        <v>20.0</v>
      </c>
      <c r="L72" s="144">
        <v>20.0</v>
      </c>
      <c r="M72" s="144">
        <v>20.0</v>
      </c>
      <c r="N72" s="144">
        <v>20.0</v>
      </c>
      <c r="O72" s="144">
        <v>20.0</v>
      </c>
      <c r="P72" s="144">
        <v>20.0</v>
      </c>
      <c r="Q72" s="145">
        <v>20.0</v>
      </c>
      <c r="R72" s="158"/>
      <c r="S72" s="97"/>
      <c r="T72" s="97"/>
      <c r="U72" s="97"/>
      <c r="V72" s="97"/>
      <c r="W72" s="97"/>
      <c r="X72" s="97"/>
      <c r="Y72" s="97"/>
      <c r="Z72" s="97"/>
      <c r="AA72" s="97"/>
      <c r="AB72" s="97"/>
    </row>
    <row r="73" ht="13.5" customHeight="1">
      <c r="A73" s="97"/>
      <c r="B73" s="97"/>
      <c r="C73" s="56">
        <v>6411.0</v>
      </c>
      <c r="D73" s="66" t="s">
        <v>54</v>
      </c>
      <c r="E73" s="60">
        <f t="shared" si="16"/>
        <v>24714.89</v>
      </c>
      <c r="F73" s="144">
        <v>1123.49</v>
      </c>
      <c r="G73" s="144">
        <f>1123.4</f>
        <v>1123.4</v>
      </c>
      <c r="H73" s="144">
        <f t="shared" ref="H73:Q73" si="22">2246.8</f>
        <v>2246.8</v>
      </c>
      <c r="I73" s="144">
        <f t="shared" si="22"/>
        <v>2246.8</v>
      </c>
      <c r="J73" s="144">
        <f t="shared" si="22"/>
        <v>2246.8</v>
      </c>
      <c r="K73" s="144">
        <f t="shared" si="22"/>
        <v>2246.8</v>
      </c>
      <c r="L73" s="144">
        <f t="shared" si="22"/>
        <v>2246.8</v>
      </c>
      <c r="M73" s="144">
        <f t="shared" si="22"/>
        <v>2246.8</v>
      </c>
      <c r="N73" s="144">
        <f t="shared" si="22"/>
        <v>2246.8</v>
      </c>
      <c r="O73" s="144">
        <f t="shared" si="22"/>
        <v>2246.8</v>
      </c>
      <c r="P73" s="144">
        <f t="shared" si="22"/>
        <v>2246.8</v>
      </c>
      <c r="Q73" s="145">
        <f t="shared" si="22"/>
        <v>2246.8</v>
      </c>
      <c r="R73" s="158"/>
      <c r="S73" s="97"/>
      <c r="T73" s="97"/>
      <c r="U73" s="97"/>
      <c r="V73" s="97"/>
      <c r="W73" s="97"/>
      <c r="X73" s="97"/>
      <c r="Y73" s="97"/>
      <c r="Z73" s="97"/>
      <c r="AA73" s="97"/>
      <c r="AB73" s="97"/>
    </row>
    <row r="74" ht="13.5" customHeight="1">
      <c r="A74" s="97"/>
      <c r="B74" s="97"/>
      <c r="C74" s="56">
        <v>6451.0</v>
      </c>
      <c r="D74" s="69" t="s">
        <v>92</v>
      </c>
      <c r="E74" s="60">
        <f t="shared" si="16"/>
        <v>10549</v>
      </c>
      <c r="F74" s="144">
        <v>1078.0</v>
      </c>
      <c r="G74" s="144">
        <f>529+55+143</f>
        <v>727</v>
      </c>
      <c r="H74" s="144">
        <f>110+143</f>
        <v>253</v>
      </c>
      <c r="I74" s="144">
        <f>(577*5+110)</f>
        <v>2995</v>
      </c>
      <c r="J74" s="144">
        <f t="shared" ref="J74:K74" si="23">110</f>
        <v>110</v>
      </c>
      <c r="K74" s="144">
        <f t="shared" si="23"/>
        <v>110</v>
      </c>
      <c r="L74" s="144">
        <f>(577*4)+110</f>
        <v>2418</v>
      </c>
      <c r="M74" s="144">
        <v>110.0</v>
      </c>
      <c r="N74" s="144">
        <v>110.0</v>
      </c>
      <c r="O74" s="144">
        <f>(577*4)+110</f>
        <v>2418</v>
      </c>
      <c r="P74" s="144">
        <v>110.0</v>
      </c>
      <c r="Q74" s="145">
        <v>110.0</v>
      </c>
      <c r="R74" s="157" t="s">
        <v>115</v>
      </c>
      <c r="S74" s="97"/>
      <c r="T74" s="97"/>
      <c r="U74" s="97"/>
      <c r="V74" s="97"/>
      <c r="W74" s="97"/>
      <c r="X74" s="97"/>
      <c r="Y74" s="97"/>
      <c r="Z74" s="97"/>
      <c r="AA74" s="97"/>
      <c r="AB74" s="97"/>
    </row>
    <row r="75" ht="13.5" customHeight="1">
      <c r="A75" s="97"/>
      <c r="B75" s="97"/>
      <c r="C75" s="56">
        <v>651.0</v>
      </c>
      <c r="D75" s="86" t="s">
        <v>56</v>
      </c>
      <c r="E75" s="143">
        <f t="shared" si="16"/>
        <v>129.05</v>
      </c>
      <c r="F75" s="144">
        <v>129.05</v>
      </c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5"/>
      <c r="R75" s="158"/>
      <c r="S75" s="97"/>
      <c r="T75" s="97"/>
      <c r="U75" s="97"/>
      <c r="V75" s="97"/>
      <c r="W75" s="97"/>
      <c r="X75" s="97"/>
      <c r="Y75" s="97"/>
      <c r="Z75" s="97"/>
      <c r="AA75" s="97"/>
      <c r="AB75" s="97"/>
    </row>
    <row r="76" ht="13.5" customHeight="1">
      <c r="A76" s="97"/>
      <c r="B76" s="97"/>
      <c r="C76" s="56">
        <v>6713.0</v>
      </c>
      <c r="D76" s="86" t="s">
        <v>57</v>
      </c>
      <c r="E76" s="143">
        <f t="shared" si="16"/>
        <v>609</v>
      </c>
      <c r="F76" s="144">
        <v>59.0</v>
      </c>
      <c r="G76" s="144">
        <v>50.0</v>
      </c>
      <c r="H76" s="144">
        <v>50.0</v>
      </c>
      <c r="I76" s="144">
        <v>50.0</v>
      </c>
      <c r="J76" s="144">
        <v>50.0</v>
      </c>
      <c r="K76" s="144">
        <v>50.0</v>
      </c>
      <c r="L76" s="144">
        <v>50.0</v>
      </c>
      <c r="M76" s="144">
        <v>50.0</v>
      </c>
      <c r="N76" s="144">
        <v>50.0</v>
      </c>
      <c r="O76" s="144">
        <v>50.0</v>
      </c>
      <c r="P76" s="144">
        <v>50.0</v>
      </c>
      <c r="Q76" s="145">
        <v>50.0</v>
      </c>
      <c r="R76" s="158"/>
      <c r="S76" s="97"/>
      <c r="T76" s="97"/>
      <c r="U76" s="97"/>
      <c r="V76" s="97"/>
      <c r="W76" s="97"/>
      <c r="X76" s="97"/>
      <c r="Y76" s="97"/>
      <c r="Z76" s="97"/>
      <c r="AA76" s="97"/>
      <c r="AB76" s="97"/>
    </row>
    <row r="77" ht="13.5" customHeight="1">
      <c r="A77" s="97"/>
      <c r="B77" s="97"/>
      <c r="C77" s="56"/>
      <c r="D77" s="168" t="s">
        <v>117</v>
      </c>
      <c r="E77" s="170">
        <f>(E55*0.05)</f>
        <v>11533.44877</v>
      </c>
      <c r="F77" s="172">
        <f t="shared" ref="F77:Q77" si="24">$E$77/12</f>
        <v>961.1207311</v>
      </c>
      <c r="G77" s="172">
        <f t="shared" si="24"/>
        <v>961.1207311</v>
      </c>
      <c r="H77" s="172">
        <f t="shared" si="24"/>
        <v>961.1207311</v>
      </c>
      <c r="I77" s="172">
        <f t="shared" si="24"/>
        <v>961.1207311</v>
      </c>
      <c r="J77" s="172">
        <f t="shared" si="24"/>
        <v>961.1207311</v>
      </c>
      <c r="K77" s="172">
        <f t="shared" si="24"/>
        <v>961.1207311</v>
      </c>
      <c r="L77" s="172">
        <f t="shared" si="24"/>
        <v>961.1207311</v>
      </c>
      <c r="M77" s="172">
        <f t="shared" si="24"/>
        <v>961.1207311</v>
      </c>
      <c r="N77" s="172">
        <f t="shared" si="24"/>
        <v>961.1207311</v>
      </c>
      <c r="O77" s="172">
        <f t="shared" si="24"/>
        <v>961.1207311</v>
      </c>
      <c r="P77" s="172">
        <f t="shared" si="24"/>
        <v>961.1207311</v>
      </c>
      <c r="Q77" s="172">
        <f t="shared" si="24"/>
        <v>961.1207311</v>
      </c>
      <c r="R77" s="157" t="s">
        <v>121</v>
      </c>
      <c r="S77" s="97"/>
      <c r="T77" s="97"/>
      <c r="U77" s="97"/>
      <c r="V77" s="97"/>
      <c r="W77" s="97"/>
      <c r="X77" s="97"/>
      <c r="Y77" s="97"/>
      <c r="Z77" s="97"/>
      <c r="AA77" s="97"/>
      <c r="AB77" s="97"/>
    </row>
    <row r="78" ht="13.5" customHeight="1">
      <c r="A78" s="97"/>
      <c r="B78" s="97"/>
      <c r="C78" s="174"/>
      <c r="D78" s="175"/>
      <c r="E78" s="176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80"/>
      <c r="S78" s="97"/>
      <c r="T78" s="97"/>
      <c r="U78" s="97"/>
      <c r="V78" s="97"/>
      <c r="W78" s="97"/>
      <c r="X78" s="97"/>
      <c r="Y78" s="97"/>
      <c r="Z78" s="97"/>
      <c r="AA78" s="97"/>
      <c r="AB78" s="97"/>
    </row>
    <row r="79" ht="13.5" customHeight="1">
      <c r="A79" s="97"/>
      <c r="B79" s="97"/>
      <c r="C79" s="104">
        <v>40.0</v>
      </c>
      <c r="D79" s="182" t="s">
        <v>60</v>
      </c>
      <c r="E79" s="60">
        <f>SUM(F79:Q79)</f>
        <v>5866.29</v>
      </c>
      <c r="F79" s="62">
        <v>5866.29</v>
      </c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5"/>
      <c r="R79" s="180"/>
      <c r="S79" s="97"/>
      <c r="T79" s="97"/>
      <c r="U79" s="97"/>
      <c r="V79" s="97"/>
      <c r="W79" s="97"/>
      <c r="X79" s="97"/>
      <c r="Y79" s="97"/>
      <c r="Z79" s="97"/>
      <c r="AA79" s="97"/>
      <c r="AB79" s="97"/>
    </row>
    <row r="80" ht="13.5" customHeight="1">
      <c r="A80" s="97"/>
      <c r="B80" s="97"/>
      <c r="C80" s="110"/>
      <c r="D80" s="186"/>
      <c r="E80" s="186"/>
      <c r="F80" s="62"/>
      <c r="G80" s="186"/>
      <c r="H80" s="186"/>
      <c r="I80" s="186"/>
      <c r="J80" s="186"/>
      <c r="K80" s="186"/>
      <c r="L80" s="186"/>
      <c r="M80" s="186"/>
      <c r="N80" s="186"/>
      <c r="O80" s="186"/>
      <c r="P80" s="186"/>
      <c r="Q80" s="187"/>
      <c r="R80" s="189"/>
      <c r="S80" s="97"/>
      <c r="T80" s="97"/>
      <c r="U80" s="97"/>
      <c r="V80" s="97"/>
      <c r="W80" s="97"/>
      <c r="X80" s="97"/>
      <c r="Y80" s="97"/>
      <c r="Z80" s="97"/>
      <c r="AA80" s="97"/>
      <c r="AB80" s="97"/>
    </row>
    <row r="81" ht="13.5" customHeight="1">
      <c r="A81" s="97"/>
      <c r="B81" s="97"/>
      <c r="C81" s="114">
        <v>6037.0</v>
      </c>
      <c r="D81" s="190" t="s">
        <v>67</v>
      </c>
      <c r="E81" s="60"/>
      <c r="F81" s="62">
        <v>7286.0</v>
      </c>
      <c r="G81" s="186"/>
      <c r="H81" s="184"/>
      <c r="I81" s="184"/>
      <c r="J81" s="184"/>
      <c r="K81" s="184"/>
      <c r="L81" s="184"/>
      <c r="M81" s="184"/>
      <c r="N81" s="184"/>
      <c r="O81" s="184"/>
      <c r="P81" s="184"/>
      <c r="Q81" s="185"/>
      <c r="R81" s="180"/>
      <c r="S81" s="97"/>
      <c r="T81" s="97"/>
      <c r="U81" s="97"/>
      <c r="V81" s="97"/>
      <c r="W81" s="97"/>
      <c r="X81" s="97"/>
      <c r="Y81" s="97"/>
      <c r="Z81" s="97"/>
      <c r="AA81" s="97"/>
      <c r="AB81" s="97"/>
    </row>
    <row r="82" ht="13.5" customHeight="1">
      <c r="A82" s="97"/>
      <c r="B82" s="97"/>
      <c r="C82" s="119"/>
      <c r="D82" s="190" t="s">
        <v>71</v>
      </c>
      <c r="E82" s="60">
        <f t="shared" ref="E82:E83" si="25">SUM(F82:Q82)</f>
        <v>4246.72</v>
      </c>
      <c r="F82" s="62">
        <v>4246.72</v>
      </c>
      <c r="G82" s="186"/>
      <c r="H82" s="184"/>
      <c r="I82" s="184"/>
      <c r="J82" s="184"/>
      <c r="K82" s="184"/>
      <c r="L82" s="184"/>
      <c r="M82" s="184"/>
      <c r="N82" s="184"/>
      <c r="O82" s="184"/>
      <c r="P82" s="184"/>
      <c r="Q82" s="185"/>
      <c r="R82" s="180"/>
      <c r="S82" s="97"/>
      <c r="T82" s="97"/>
      <c r="U82" s="97"/>
      <c r="V82" s="97"/>
      <c r="W82" s="97"/>
      <c r="X82" s="97"/>
      <c r="Y82" s="97"/>
      <c r="Z82" s="97"/>
      <c r="AA82" s="97"/>
      <c r="AB82" s="97"/>
    </row>
    <row r="83" ht="13.5" customHeight="1">
      <c r="A83" s="97"/>
      <c r="B83" s="97"/>
      <c r="C83" s="119"/>
      <c r="D83" s="190" t="s">
        <v>73</v>
      </c>
      <c r="E83" s="60">
        <f t="shared" si="25"/>
        <v>1843.76</v>
      </c>
      <c r="F83" s="62">
        <v>1843.76</v>
      </c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5"/>
      <c r="R83" s="180"/>
      <c r="S83" s="97"/>
      <c r="T83" s="97"/>
      <c r="U83" s="97"/>
      <c r="V83" s="97"/>
      <c r="W83" s="97"/>
      <c r="X83" s="97"/>
      <c r="Y83" s="97"/>
      <c r="Z83" s="97"/>
      <c r="AA83" s="97"/>
      <c r="AB83" s="97"/>
    </row>
    <row r="84" ht="13.5" customHeight="1">
      <c r="A84" s="97"/>
      <c r="B84" s="97"/>
      <c r="C84" s="122"/>
      <c r="D84" s="190" t="s">
        <v>74</v>
      </c>
      <c r="E84" s="123">
        <f>E83/(E49+E82)</f>
        <v>0.01061373263</v>
      </c>
      <c r="F84" s="124">
        <v>0.13</v>
      </c>
      <c r="G84" s="267"/>
      <c r="H84" s="186"/>
      <c r="I84" s="186"/>
      <c r="J84" s="184"/>
      <c r="K84" s="184"/>
      <c r="L84" s="184"/>
      <c r="M84" s="184"/>
      <c r="N84" s="184"/>
      <c r="O84" s="184"/>
      <c r="P84" s="184"/>
      <c r="Q84" s="185"/>
      <c r="R84" s="180"/>
      <c r="S84" s="97"/>
      <c r="T84" s="97"/>
      <c r="U84" s="97"/>
      <c r="V84" s="97"/>
      <c r="W84" s="97"/>
      <c r="X84" s="97"/>
      <c r="Y84" s="97"/>
      <c r="Z84" s="97"/>
      <c r="AA84" s="97"/>
      <c r="AB84" s="97"/>
    </row>
    <row r="85" ht="13.5" customHeight="1">
      <c r="A85" s="97"/>
      <c r="B85" s="97"/>
      <c r="C85" s="97"/>
      <c r="D85" s="97"/>
      <c r="E85" s="202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58"/>
      <c r="S85" s="97"/>
      <c r="T85" s="97"/>
      <c r="U85" s="97"/>
      <c r="V85" s="97"/>
      <c r="W85" s="97"/>
      <c r="X85" s="97"/>
      <c r="Y85" s="97"/>
      <c r="Z85" s="97"/>
      <c r="AA85" s="97"/>
      <c r="AB85" s="97"/>
    </row>
    <row r="86" ht="13.5" customHeight="1">
      <c r="A86" s="48" t="s">
        <v>29</v>
      </c>
      <c r="B86" s="128">
        <f>+SUM(D86:U86)</f>
        <v>63274.86032</v>
      </c>
      <c r="C86" s="97"/>
      <c r="D86" s="129" t="s">
        <v>134</v>
      </c>
      <c r="E86" s="193">
        <f t="shared" ref="E86:Q86" si="26">+SUM(E48-E55)</f>
        <v>37404.15455</v>
      </c>
      <c r="F86" s="130">
        <f t="shared" si="26"/>
        <v>18452.49927</v>
      </c>
      <c r="G86" s="130">
        <f t="shared" si="26"/>
        <v>-3075.170731</v>
      </c>
      <c r="H86" s="130">
        <f t="shared" si="26"/>
        <v>-1319.330731</v>
      </c>
      <c r="I86" s="130">
        <f t="shared" si="26"/>
        <v>8294.169269</v>
      </c>
      <c r="J86" s="130">
        <f t="shared" si="26"/>
        <v>-1426.330731</v>
      </c>
      <c r="K86" s="130">
        <f t="shared" si="26"/>
        <v>-159.4307311</v>
      </c>
      <c r="L86" s="130">
        <f t="shared" si="26"/>
        <v>-3194.330731</v>
      </c>
      <c r="M86" s="130">
        <f t="shared" si="26"/>
        <v>-3181.330731</v>
      </c>
      <c r="N86" s="130">
        <f t="shared" si="26"/>
        <v>221.0615417</v>
      </c>
      <c r="O86" s="130">
        <f t="shared" si="26"/>
        <v>-1170.830731</v>
      </c>
      <c r="P86" s="130">
        <f t="shared" si="26"/>
        <v>-1478.938458</v>
      </c>
      <c r="Q86" s="132">
        <f t="shared" si="26"/>
        <v>13908.66927</v>
      </c>
      <c r="R86" s="158"/>
      <c r="S86" s="97"/>
      <c r="T86" s="97"/>
      <c r="U86" s="97"/>
      <c r="V86" s="97"/>
      <c r="W86" s="97"/>
      <c r="X86" s="97"/>
      <c r="Y86" s="97"/>
      <c r="Z86" s="97"/>
      <c r="AA86" s="97"/>
      <c r="AB86" s="97"/>
    </row>
    <row r="87" ht="13.5" customHeight="1">
      <c r="A87" s="1"/>
      <c r="B87" s="1"/>
      <c r="C87" s="97"/>
      <c r="D87" s="97" t="s">
        <v>136</v>
      </c>
      <c r="E87" s="193" t="str">
        <f>#REF!</f>
        <v>#REF!</v>
      </c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7"/>
      <c r="R87" s="4"/>
      <c r="S87" s="97"/>
      <c r="T87" s="97"/>
      <c r="U87" s="97"/>
      <c r="V87" s="97"/>
      <c r="W87" s="97"/>
      <c r="X87" s="97"/>
      <c r="Y87" s="97"/>
      <c r="Z87" s="97"/>
      <c r="AA87" s="97"/>
      <c r="AB87" s="97"/>
    </row>
    <row r="88" ht="13.5" customHeight="1">
      <c r="A88" s="97"/>
      <c r="B88" s="97"/>
      <c r="C88" s="97"/>
      <c r="D88" s="48" t="s">
        <v>85</v>
      </c>
      <c r="E88" s="199">
        <v>4000.0</v>
      </c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</row>
    <row r="89" ht="13.5" customHeight="1">
      <c r="A89" s="97"/>
      <c r="B89" s="97"/>
      <c r="C89" s="97"/>
      <c r="D89" s="97"/>
      <c r="E89" s="202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</row>
    <row r="90" ht="13.5" customHeight="1">
      <c r="A90" s="97"/>
      <c r="B90" s="97"/>
      <c r="C90" s="97"/>
      <c r="D90" s="97"/>
      <c r="E90" s="202"/>
      <c r="F90" s="268">
        <v>0.29</v>
      </c>
      <c r="G90" s="268">
        <v>0.29</v>
      </c>
      <c r="H90" s="268">
        <v>0.29</v>
      </c>
      <c r="I90" s="268">
        <v>0.29</v>
      </c>
      <c r="J90" s="268">
        <v>0.29</v>
      </c>
      <c r="K90" s="268">
        <v>0.29</v>
      </c>
      <c r="L90" s="268">
        <v>0.29</v>
      </c>
      <c r="M90" s="268">
        <v>0.29</v>
      </c>
      <c r="N90" s="268">
        <v>0.29</v>
      </c>
      <c r="O90" s="268">
        <v>0.29</v>
      </c>
      <c r="P90" s="268">
        <v>0.29</v>
      </c>
      <c r="Q90" s="268">
        <v>0.29</v>
      </c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</row>
    <row r="91" ht="13.5" customHeight="1">
      <c r="A91" s="97"/>
      <c r="B91" s="97"/>
      <c r="C91" s="97"/>
      <c r="D91" s="97"/>
      <c r="E91" s="202"/>
      <c r="F91" s="270">
        <v>733.0</v>
      </c>
      <c r="G91" s="270">
        <f t="shared" ref="G91:H91" si="27">F91+30</f>
        <v>763</v>
      </c>
      <c r="H91" s="270">
        <f t="shared" si="27"/>
        <v>793</v>
      </c>
      <c r="I91" s="270">
        <f>H91-(103*0.3)+30</f>
        <v>792.1</v>
      </c>
      <c r="J91" s="270">
        <f>I91+30</f>
        <v>822.1</v>
      </c>
      <c r="K91" s="270">
        <f>J91+20</f>
        <v>842.1</v>
      </c>
      <c r="L91" s="270">
        <f>K91-(96*0.3)+30</f>
        <v>843.3</v>
      </c>
      <c r="M91" s="270">
        <f t="shared" ref="M91:N91" si="28">L91+30</f>
        <v>873.3</v>
      </c>
      <c r="N91" s="270">
        <f t="shared" si="28"/>
        <v>903.3</v>
      </c>
      <c r="O91" s="270">
        <f>N91-(123*0.3)+30</f>
        <v>896.4</v>
      </c>
      <c r="P91" s="270">
        <f t="shared" ref="P91:Q91" si="29">O91+30</f>
        <v>926.4</v>
      </c>
      <c r="Q91" s="270">
        <f t="shared" si="29"/>
        <v>956.4</v>
      </c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</row>
    <row r="92" ht="13.5" customHeight="1">
      <c r="A92" s="97"/>
      <c r="B92" s="97"/>
      <c r="C92" s="97"/>
      <c r="D92" s="97"/>
      <c r="E92" s="202"/>
      <c r="F92" s="275">
        <f t="shared" ref="F92:Q92" si="30">F91*F90</f>
        <v>212.57</v>
      </c>
      <c r="G92" s="275">
        <f t="shared" si="30"/>
        <v>221.27</v>
      </c>
      <c r="H92" s="275">
        <f t="shared" si="30"/>
        <v>229.97</v>
      </c>
      <c r="I92" s="275">
        <f t="shared" si="30"/>
        <v>229.709</v>
      </c>
      <c r="J92" s="275">
        <f t="shared" si="30"/>
        <v>238.409</v>
      </c>
      <c r="K92" s="275">
        <f t="shared" si="30"/>
        <v>244.209</v>
      </c>
      <c r="L92" s="275">
        <f t="shared" si="30"/>
        <v>244.557</v>
      </c>
      <c r="M92" s="275">
        <f t="shared" si="30"/>
        <v>253.257</v>
      </c>
      <c r="N92" s="275">
        <f t="shared" si="30"/>
        <v>261.957</v>
      </c>
      <c r="O92" s="275">
        <f t="shared" si="30"/>
        <v>259.956</v>
      </c>
      <c r="P92" s="275">
        <f t="shared" si="30"/>
        <v>268.656</v>
      </c>
      <c r="Q92" s="275">
        <f t="shared" si="30"/>
        <v>277.356</v>
      </c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</row>
    <row r="93" ht="13.5" customHeight="1">
      <c r="A93" s="97"/>
      <c r="B93" s="97"/>
      <c r="C93" s="97"/>
      <c r="D93" s="97"/>
      <c r="E93" s="202"/>
      <c r="F93" s="277">
        <f t="shared" ref="F93:Q93" si="31">F49/F92</f>
        <v>44.53991626</v>
      </c>
      <c r="G93" s="277">
        <f t="shared" si="31"/>
        <v>72.3098477</v>
      </c>
      <c r="H93" s="277">
        <f t="shared" si="31"/>
        <v>69.5742923</v>
      </c>
      <c r="I93" s="277">
        <f t="shared" si="31"/>
        <v>69.65334401</v>
      </c>
      <c r="J93" s="277">
        <f t="shared" si="31"/>
        <v>67.11156039</v>
      </c>
      <c r="K93" s="277">
        <f t="shared" si="31"/>
        <v>65.51765086</v>
      </c>
      <c r="L93" s="277">
        <f t="shared" si="31"/>
        <v>32.71221024</v>
      </c>
      <c r="M93" s="277">
        <f t="shared" si="31"/>
        <v>31.58846547</v>
      </c>
      <c r="N93" s="277">
        <f t="shared" si="31"/>
        <v>61.07872666</v>
      </c>
      <c r="O93" s="277">
        <f t="shared" si="31"/>
        <v>61.5488775</v>
      </c>
      <c r="P93" s="277">
        <f t="shared" si="31"/>
        <v>59.55571437</v>
      </c>
      <c r="Q93" s="277">
        <f t="shared" si="31"/>
        <v>57.68759284</v>
      </c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</row>
    <row r="94" ht="13.5" customHeight="1">
      <c r="A94" s="97"/>
      <c r="B94" s="97"/>
      <c r="C94" s="97"/>
      <c r="D94" s="97"/>
      <c r="E94" s="202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8"/>
      <c r="Q94" s="148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</row>
    <row r="95" ht="13.5" customHeight="1">
      <c r="A95" s="97"/>
      <c r="B95" s="97"/>
      <c r="C95" s="97"/>
      <c r="D95" s="97"/>
      <c r="E95" s="202"/>
      <c r="F95" s="278">
        <v>39.0</v>
      </c>
      <c r="G95" s="278">
        <v>39.0</v>
      </c>
      <c r="H95" s="278">
        <v>39.0</v>
      </c>
      <c r="I95" s="278">
        <v>39.0</v>
      </c>
      <c r="J95" s="278">
        <v>39.0</v>
      </c>
      <c r="K95" s="278">
        <v>39.0</v>
      </c>
      <c r="L95" s="278">
        <v>39.0</v>
      </c>
      <c r="M95" s="278">
        <v>39.0</v>
      </c>
      <c r="N95" s="278">
        <v>39.0</v>
      </c>
      <c r="O95" s="278">
        <v>39.0</v>
      </c>
      <c r="P95" s="278">
        <v>39.0</v>
      </c>
      <c r="Q95" s="278">
        <v>39.0</v>
      </c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</row>
    <row r="96" ht="13.5" customHeight="1">
      <c r="A96" s="97"/>
      <c r="B96" s="97"/>
      <c r="C96" s="97"/>
      <c r="D96" s="97"/>
      <c r="E96" s="202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</row>
    <row r="97" ht="13.5" customHeight="1">
      <c r="A97" s="97"/>
      <c r="B97" s="97"/>
      <c r="C97" s="97"/>
      <c r="D97" s="97"/>
      <c r="E97" s="202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</row>
    <row r="98" ht="13.5" customHeight="1">
      <c r="A98" s="97"/>
      <c r="B98" s="97"/>
      <c r="C98" s="97"/>
      <c r="D98" s="97"/>
      <c r="E98" s="202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</row>
    <row r="99" ht="13.5" customHeight="1">
      <c r="A99" s="97"/>
      <c r="B99" s="97"/>
      <c r="C99" s="97"/>
      <c r="D99" s="97"/>
      <c r="E99" s="202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</row>
    <row r="100" ht="13.5" customHeight="1">
      <c r="A100" s="97"/>
      <c r="B100" s="97"/>
      <c r="C100" s="97"/>
      <c r="D100" s="97"/>
      <c r="E100" s="202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</row>
    <row r="101" ht="13.5" customHeight="1">
      <c r="A101" s="97"/>
      <c r="B101" s="97"/>
      <c r="C101" s="97"/>
      <c r="D101" s="97"/>
      <c r="E101" s="202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</row>
    <row r="102" ht="13.5" customHeight="1">
      <c r="A102" s="97"/>
      <c r="B102" s="97"/>
      <c r="C102" s="97"/>
      <c r="D102" s="97"/>
      <c r="E102" s="202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</row>
    <row r="103" ht="13.5" customHeight="1">
      <c r="A103" s="97"/>
      <c r="B103" s="97"/>
      <c r="C103" s="97"/>
      <c r="D103" s="97"/>
      <c r="E103" s="202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</row>
    <row r="104" ht="13.5" customHeight="1">
      <c r="A104" s="97"/>
      <c r="B104" s="97"/>
      <c r="C104" s="97"/>
      <c r="D104" s="97"/>
      <c r="E104" s="202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</row>
    <row r="105" ht="13.5" customHeight="1">
      <c r="A105" s="97"/>
      <c r="B105" s="97"/>
      <c r="C105" s="97"/>
      <c r="D105" s="97"/>
      <c r="E105" s="202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</row>
    <row r="106" ht="13.5" customHeight="1">
      <c r="A106" s="97"/>
      <c r="B106" s="97"/>
      <c r="C106" s="97"/>
      <c r="D106" s="97"/>
      <c r="E106" s="202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</row>
    <row r="107" ht="13.5" customHeight="1">
      <c r="A107" s="97"/>
      <c r="B107" s="97"/>
      <c r="C107" s="97"/>
      <c r="D107" s="97"/>
      <c r="E107" s="202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</row>
    <row r="108" ht="13.5" customHeight="1">
      <c r="A108" s="97"/>
      <c r="B108" s="97"/>
      <c r="C108" s="97"/>
      <c r="D108" s="97"/>
      <c r="E108" s="202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</row>
    <row r="109" ht="13.5" customHeight="1">
      <c r="A109" s="97"/>
      <c r="B109" s="97"/>
      <c r="C109" s="97"/>
      <c r="D109" s="97"/>
      <c r="E109" s="202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</row>
    <row r="110" ht="13.5" customHeight="1">
      <c r="A110" s="97"/>
      <c r="B110" s="97"/>
      <c r="C110" s="97"/>
      <c r="D110" s="97"/>
      <c r="E110" s="202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</row>
    <row r="111" ht="13.5" customHeight="1">
      <c r="A111" s="97"/>
      <c r="B111" s="97"/>
      <c r="C111" s="97"/>
      <c r="D111" s="97"/>
      <c r="E111" s="202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</row>
    <row r="112" ht="13.5" customHeight="1">
      <c r="A112" s="97"/>
      <c r="B112" s="97"/>
      <c r="C112" s="97"/>
      <c r="D112" s="97"/>
      <c r="E112" s="202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</row>
    <row r="113" ht="13.5" customHeight="1">
      <c r="A113" s="97"/>
      <c r="B113" s="97"/>
      <c r="C113" s="97"/>
      <c r="D113" s="97"/>
      <c r="E113" s="202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</row>
    <row r="114" ht="13.5" customHeight="1">
      <c r="A114" s="97"/>
      <c r="B114" s="97"/>
      <c r="C114" s="97"/>
      <c r="D114" s="97"/>
      <c r="E114" s="202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</row>
    <row r="115" ht="13.5" customHeight="1">
      <c r="A115" s="97"/>
      <c r="B115" s="97"/>
      <c r="C115" s="97"/>
      <c r="D115" s="97"/>
      <c r="E115" s="202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</row>
    <row r="116" ht="13.5" customHeight="1">
      <c r="A116" s="97"/>
      <c r="B116" s="97"/>
      <c r="C116" s="97"/>
      <c r="D116" s="97"/>
      <c r="E116" s="202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</row>
    <row r="117" ht="13.5" customHeight="1">
      <c r="A117" s="97"/>
      <c r="B117" s="97"/>
      <c r="C117" s="97"/>
      <c r="D117" s="97"/>
      <c r="E117" s="202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</row>
    <row r="118" ht="13.5" customHeight="1">
      <c r="A118" s="97"/>
      <c r="B118" s="97"/>
      <c r="C118" s="97"/>
      <c r="D118" s="97"/>
      <c r="E118" s="202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</row>
    <row r="119" ht="13.5" customHeight="1">
      <c r="A119" s="97"/>
      <c r="B119" s="97"/>
      <c r="C119" s="97"/>
      <c r="D119" s="97"/>
      <c r="E119" s="202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</row>
    <row r="120" ht="13.5" customHeight="1">
      <c r="A120" s="97"/>
      <c r="B120" s="97"/>
      <c r="C120" s="97"/>
      <c r="D120" s="97"/>
      <c r="E120" s="202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</row>
    <row r="121" ht="13.5" customHeight="1">
      <c r="A121" s="97"/>
      <c r="B121" s="97"/>
      <c r="C121" s="97"/>
      <c r="D121" s="97"/>
      <c r="E121" s="202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</row>
    <row r="122" ht="13.5" customHeight="1">
      <c r="A122" s="97"/>
      <c r="B122" s="97"/>
      <c r="C122" s="97"/>
      <c r="D122" s="97"/>
      <c r="E122" s="202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</row>
    <row r="123" ht="13.5" customHeight="1">
      <c r="A123" s="97"/>
      <c r="B123" s="97"/>
      <c r="C123" s="97"/>
      <c r="D123" s="97"/>
      <c r="E123" s="202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</row>
    <row r="124" ht="13.5" customHeight="1">
      <c r="A124" s="97"/>
      <c r="B124" s="97"/>
      <c r="C124" s="97"/>
      <c r="D124" s="97"/>
      <c r="E124" s="202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</row>
    <row r="125" ht="13.5" customHeight="1">
      <c r="A125" s="97"/>
      <c r="B125" s="97"/>
      <c r="C125" s="97"/>
      <c r="D125" s="97"/>
      <c r="E125" s="202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</row>
    <row r="126" ht="13.5" customHeight="1">
      <c r="A126" s="97"/>
      <c r="B126" s="97"/>
      <c r="C126" s="97"/>
      <c r="D126" s="97"/>
      <c r="E126" s="202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</row>
    <row r="127" ht="13.5" customHeight="1">
      <c r="A127" s="97"/>
      <c r="B127" s="97"/>
      <c r="C127" s="97"/>
      <c r="D127" s="97"/>
      <c r="E127" s="202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</row>
    <row r="128" ht="13.5" customHeight="1">
      <c r="A128" s="97"/>
      <c r="B128" s="97"/>
      <c r="C128" s="97"/>
      <c r="D128" s="97"/>
      <c r="E128" s="202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</row>
    <row r="129" ht="13.5" customHeight="1">
      <c r="A129" s="97"/>
      <c r="B129" s="97"/>
      <c r="C129" s="97"/>
      <c r="D129" s="97"/>
      <c r="E129" s="202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</row>
    <row r="130" ht="13.5" customHeight="1">
      <c r="A130" s="97"/>
      <c r="B130" s="97"/>
      <c r="C130" s="97"/>
      <c r="D130" s="97"/>
      <c r="E130" s="202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</row>
    <row r="131" ht="13.5" customHeight="1">
      <c r="A131" s="97"/>
      <c r="B131" s="97"/>
      <c r="C131" s="97"/>
      <c r="D131" s="97"/>
      <c r="E131" s="202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</row>
    <row r="132" ht="13.5" customHeight="1">
      <c r="A132" s="97"/>
      <c r="B132" s="97"/>
      <c r="C132" s="97"/>
      <c r="D132" s="97"/>
      <c r="E132" s="202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</row>
    <row r="133" ht="13.5" customHeight="1">
      <c r="A133" s="97"/>
      <c r="B133" s="97"/>
      <c r="C133" s="97"/>
      <c r="D133" s="97"/>
      <c r="E133" s="202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</row>
    <row r="134" ht="13.5" customHeight="1">
      <c r="A134" s="97"/>
      <c r="B134" s="97"/>
      <c r="C134" s="97"/>
      <c r="D134" s="97"/>
      <c r="E134" s="202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</row>
    <row r="135" ht="13.5" customHeight="1">
      <c r="A135" s="97"/>
      <c r="B135" s="97"/>
      <c r="C135" s="97"/>
      <c r="D135" s="97"/>
      <c r="E135" s="202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</row>
    <row r="136" ht="13.5" customHeight="1">
      <c r="A136" s="97"/>
      <c r="B136" s="97"/>
      <c r="C136" s="97"/>
      <c r="D136" s="97"/>
      <c r="E136" s="202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</row>
    <row r="137" ht="13.5" customHeight="1">
      <c r="A137" s="97"/>
      <c r="B137" s="97"/>
      <c r="C137" s="97"/>
      <c r="D137" s="97"/>
      <c r="E137" s="202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</row>
    <row r="138" ht="13.5" customHeight="1">
      <c r="A138" s="97"/>
      <c r="B138" s="97"/>
      <c r="C138" s="97"/>
      <c r="D138" s="97"/>
      <c r="E138" s="202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</row>
    <row r="139" ht="13.5" customHeight="1">
      <c r="A139" s="97"/>
      <c r="B139" s="97"/>
      <c r="C139" s="97"/>
      <c r="D139" s="97"/>
      <c r="E139" s="202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</row>
    <row r="140" ht="13.5" customHeight="1">
      <c r="A140" s="97"/>
      <c r="B140" s="97"/>
      <c r="C140" s="97"/>
      <c r="D140" s="97"/>
      <c r="E140" s="202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</row>
    <row r="141" ht="13.5" customHeight="1">
      <c r="A141" s="97"/>
      <c r="B141" s="97"/>
      <c r="C141" s="97"/>
      <c r="D141" s="97"/>
      <c r="E141" s="202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</row>
    <row r="142" ht="13.5" customHeight="1">
      <c r="A142" s="97"/>
      <c r="B142" s="97"/>
      <c r="C142" s="97"/>
      <c r="D142" s="97"/>
      <c r="E142" s="202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</row>
    <row r="143" ht="13.5" customHeight="1">
      <c r="A143" s="97"/>
      <c r="B143" s="97"/>
      <c r="C143" s="97"/>
      <c r="D143" s="97"/>
      <c r="E143" s="202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</row>
    <row r="144" ht="13.5" customHeight="1">
      <c r="A144" s="97"/>
      <c r="B144" s="97"/>
      <c r="C144" s="97"/>
      <c r="D144" s="97"/>
      <c r="E144" s="202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</row>
    <row r="145" ht="13.5" customHeight="1">
      <c r="A145" s="97"/>
      <c r="B145" s="97"/>
      <c r="C145" s="97"/>
      <c r="D145" s="97"/>
      <c r="E145" s="202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</row>
    <row r="146" ht="13.5" customHeight="1">
      <c r="A146" s="97"/>
      <c r="B146" s="97"/>
      <c r="C146" s="97"/>
      <c r="D146" s="97"/>
      <c r="E146" s="202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</row>
    <row r="147" ht="13.5" customHeight="1">
      <c r="A147" s="97"/>
      <c r="B147" s="97"/>
      <c r="C147" s="97"/>
      <c r="D147" s="97"/>
      <c r="E147" s="202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</row>
    <row r="148" ht="13.5" customHeight="1">
      <c r="A148" s="97"/>
      <c r="B148" s="97"/>
      <c r="C148" s="97"/>
      <c r="D148" s="97"/>
      <c r="E148" s="202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</row>
    <row r="149" ht="13.5" customHeight="1">
      <c r="A149" s="97"/>
      <c r="B149" s="97"/>
      <c r="C149" s="97"/>
      <c r="D149" s="97"/>
      <c r="E149" s="202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</row>
    <row r="150" ht="13.5" customHeight="1">
      <c r="A150" s="97"/>
      <c r="B150" s="97"/>
      <c r="C150" s="97"/>
      <c r="D150" s="97"/>
      <c r="E150" s="202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</row>
    <row r="151" ht="13.5" customHeight="1">
      <c r="A151" s="97"/>
      <c r="B151" s="97"/>
      <c r="C151" s="97"/>
      <c r="D151" s="97"/>
      <c r="E151" s="202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</row>
    <row r="152" ht="13.5" customHeight="1">
      <c r="A152" s="97"/>
      <c r="B152" s="97"/>
      <c r="C152" s="97"/>
      <c r="D152" s="97"/>
      <c r="E152" s="202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</row>
    <row r="153" ht="13.5" customHeight="1">
      <c r="A153" s="97"/>
      <c r="B153" s="97"/>
      <c r="C153" s="97"/>
      <c r="D153" s="97"/>
      <c r="E153" s="202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</row>
    <row r="154" ht="13.5" customHeight="1">
      <c r="A154" s="97"/>
      <c r="B154" s="97"/>
      <c r="C154" s="97"/>
      <c r="D154" s="97"/>
      <c r="E154" s="202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</row>
    <row r="155" ht="13.5" customHeight="1">
      <c r="A155" s="97"/>
      <c r="B155" s="97"/>
      <c r="C155" s="97"/>
      <c r="D155" s="97"/>
      <c r="E155" s="202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</row>
    <row r="156" ht="13.5" customHeight="1">
      <c r="A156" s="97"/>
      <c r="B156" s="97"/>
      <c r="C156" s="97"/>
      <c r="D156" s="97"/>
      <c r="E156" s="202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</row>
    <row r="157" ht="13.5" customHeight="1">
      <c r="A157" s="97"/>
      <c r="B157" s="97"/>
      <c r="C157" s="97"/>
      <c r="D157" s="97"/>
      <c r="E157" s="202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</row>
    <row r="158" ht="13.5" customHeight="1">
      <c r="A158" s="97"/>
      <c r="B158" s="97"/>
      <c r="C158" s="97"/>
      <c r="D158" s="97"/>
      <c r="E158" s="202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</row>
    <row r="159" ht="13.5" customHeight="1">
      <c r="A159" s="97"/>
      <c r="B159" s="97"/>
      <c r="C159" s="97"/>
      <c r="D159" s="97"/>
      <c r="E159" s="202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</row>
    <row r="160" ht="13.5" customHeight="1">
      <c r="A160" s="97"/>
      <c r="B160" s="97"/>
      <c r="C160" s="97"/>
      <c r="D160" s="97"/>
      <c r="E160" s="202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</row>
    <row r="161" ht="13.5" customHeight="1">
      <c r="A161" s="97"/>
      <c r="B161" s="97"/>
      <c r="C161" s="97"/>
      <c r="D161" s="97"/>
      <c r="E161" s="202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</row>
    <row r="162" ht="13.5" customHeight="1">
      <c r="A162" s="97"/>
      <c r="B162" s="97"/>
      <c r="C162" s="97"/>
      <c r="D162" s="97"/>
      <c r="E162" s="202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</row>
    <row r="163" ht="13.5" customHeight="1">
      <c r="A163" s="97"/>
      <c r="B163" s="97"/>
      <c r="C163" s="97"/>
      <c r="D163" s="97"/>
      <c r="E163" s="202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</row>
    <row r="164" ht="13.5" customHeight="1">
      <c r="A164" s="97"/>
      <c r="B164" s="97"/>
      <c r="C164" s="97"/>
      <c r="D164" s="97"/>
      <c r="E164" s="202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</row>
    <row r="165" ht="13.5" customHeight="1">
      <c r="A165" s="97"/>
      <c r="B165" s="97"/>
      <c r="C165" s="97"/>
      <c r="D165" s="97"/>
      <c r="E165" s="202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</row>
    <row r="166" ht="13.5" customHeight="1">
      <c r="A166" s="97"/>
      <c r="B166" s="97"/>
      <c r="C166" s="97"/>
      <c r="D166" s="97"/>
      <c r="E166" s="202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</row>
    <row r="167" ht="13.5" customHeight="1">
      <c r="A167" s="97"/>
      <c r="B167" s="97"/>
      <c r="C167" s="97"/>
      <c r="D167" s="97"/>
      <c r="E167" s="202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</row>
    <row r="168" ht="13.5" customHeight="1">
      <c r="A168" s="97"/>
      <c r="B168" s="97"/>
      <c r="C168" s="97"/>
      <c r="D168" s="97"/>
      <c r="E168" s="202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</row>
    <row r="169" ht="13.5" customHeight="1">
      <c r="A169" s="97"/>
      <c r="B169" s="97"/>
      <c r="C169" s="97"/>
      <c r="D169" s="97"/>
      <c r="E169" s="202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</row>
    <row r="170" ht="13.5" customHeight="1">
      <c r="A170" s="97"/>
      <c r="B170" s="97"/>
      <c r="C170" s="97"/>
      <c r="D170" s="97"/>
      <c r="E170" s="202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</row>
    <row r="171" ht="13.5" customHeight="1">
      <c r="A171" s="97"/>
      <c r="B171" s="97"/>
      <c r="C171" s="97"/>
      <c r="D171" s="97"/>
      <c r="E171" s="202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</row>
    <row r="172" ht="13.5" customHeight="1">
      <c r="A172" s="97"/>
      <c r="B172" s="97"/>
      <c r="C172" s="97"/>
      <c r="D172" s="97"/>
      <c r="E172" s="202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</row>
    <row r="173" ht="13.5" customHeight="1">
      <c r="A173" s="97"/>
      <c r="B173" s="97"/>
      <c r="C173" s="97"/>
      <c r="D173" s="97"/>
      <c r="E173" s="202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</row>
    <row r="174" ht="13.5" customHeight="1">
      <c r="A174" s="97"/>
      <c r="B174" s="97"/>
      <c r="C174" s="97"/>
      <c r="D174" s="97"/>
      <c r="E174" s="202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</row>
    <row r="175" ht="13.5" customHeight="1">
      <c r="A175" s="97"/>
      <c r="B175" s="97"/>
      <c r="C175" s="97"/>
      <c r="D175" s="97"/>
      <c r="E175" s="202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</row>
    <row r="176" ht="13.5" customHeight="1">
      <c r="A176" s="97"/>
      <c r="B176" s="97"/>
      <c r="C176" s="97"/>
      <c r="D176" s="97"/>
      <c r="E176" s="202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</row>
    <row r="177" ht="13.5" customHeight="1">
      <c r="A177" s="97"/>
      <c r="B177" s="97"/>
      <c r="C177" s="97"/>
      <c r="D177" s="97"/>
      <c r="E177" s="202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</row>
    <row r="178" ht="13.5" customHeight="1">
      <c r="A178" s="97"/>
      <c r="B178" s="97"/>
      <c r="C178" s="97"/>
      <c r="D178" s="97"/>
      <c r="E178" s="202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</row>
    <row r="179" ht="13.5" customHeight="1">
      <c r="A179" s="97"/>
      <c r="B179" s="97"/>
      <c r="C179" s="97"/>
      <c r="D179" s="97"/>
      <c r="E179" s="202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</row>
  </sheetData>
  <mergeCells count="4">
    <mergeCell ref="D1:Q1"/>
    <mergeCell ref="C35:C38"/>
    <mergeCell ref="D46:Q46"/>
    <mergeCell ref="C81:C84"/>
  </mergeCells>
  <drawing r:id="rId2"/>
  <legacyDrawing r:id="rId3"/>
</worksheet>
</file>